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. Dokumente\000. Energiestammtisch\4. Arbeitsgruppen Themen\4. AG Heizen\"/>
    </mc:Choice>
  </mc:AlternateContent>
  <bookViews>
    <workbookView xWindow="-96" yWindow="-96" windowWidth="23232" windowHeight="12432"/>
  </bookViews>
  <sheets>
    <sheet name="Kalkulator" sheetId="1" r:id="rId1"/>
    <sheet name="Rechnungen " sheetId="2" r:id="rId2"/>
  </sheets>
  <calcPr calcId="181029"/>
  <extLst>
    <ext uri="GoogleSheetsCustomDataVersion1">
      <go:sheetsCustomData xmlns:go="http://customooxmlschemas.google.com/" r:id="rId5" roundtripDataSignature="AMtx7mh4GR5B4ETjGvT9or1q3gqsQ+2g8A=="/>
    </ext>
  </extLst>
</workbook>
</file>

<file path=xl/calcChain.xml><?xml version="1.0" encoding="utf-8"?>
<calcChain xmlns="http://schemas.openxmlformats.org/spreadsheetml/2006/main">
  <c r="B34" i="1" l="1"/>
  <c r="B35" i="1" s="1"/>
  <c r="J39" i="2" s="1"/>
  <c r="C7" i="1"/>
  <c r="J45" i="2"/>
  <c r="B11" i="2"/>
  <c r="B13" i="2" s="1"/>
  <c r="B37" i="2"/>
  <c r="F36" i="2"/>
  <c r="B27" i="1"/>
  <c r="C48" i="2" s="1"/>
  <c r="K48" i="2"/>
  <c r="B41" i="2"/>
  <c r="J40" i="2"/>
  <c r="F40" i="2"/>
  <c r="B40" i="2"/>
  <c r="B42" i="2" s="1"/>
  <c r="J35" i="2"/>
  <c r="L48" i="2" s="1"/>
  <c r="L49" i="2" s="1"/>
  <c r="L50" i="2" s="1"/>
  <c r="B26" i="1"/>
  <c r="G48" i="2" s="1"/>
  <c r="B22" i="1"/>
  <c r="F35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B42" i="1"/>
  <c r="F43" i="2" s="1"/>
  <c r="B41" i="1"/>
  <c r="B5" i="2" s="1"/>
  <c r="B36" i="1"/>
  <c r="D17" i="2" l="1"/>
  <c r="J59" i="2"/>
  <c r="J67" i="2"/>
  <c r="J65" i="2"/>
  <c r="J66" i="2"/>
  <c r="J52" i="2"/>
  <c r="J60" i="2"/>
  <c r="J51" i="2"/>
  <c r="J57" i="2"/>
  <c r="J53" i="2"/>
  <c r="J61" i="2"/>
  <c r="J50" i="2"/>
  <c r="J58" i="2"/>
  <c r="J54" i="2"/>
  <c r="J62" i="2"/>
  <c r="J49" i="2"/>
  <c r="J55" i="2"/>
  <c r="J63" i="2"/>
  <c r="J48" i="2"/>
  <c r="J56" i="2"/>
  <c r="J64" i="2"/>
  <c r="F39" i="2"/>
  <c r="B6" i="2"/>
  <c r="B14" i="2" s="1"/>
  <c r="B44" i="2"/>
  <c r="F44" i="2"/>
  <c r="K49" i="2"/>
  <c r="G49" i="2"/>
  <c r="H68" i="2"/>
  <c r="L51" i="2"/>
  <c r="C49" i="2"/>
  <c r="B43" i="2"/>
  <c r="F42" i="2"/>
  <c r="J42" i="2"/>
  <c r="B37" i="1"/>
  <c r="B39" i="2" s="1"/>
  <c r="F55" i="2" l="1"/>
  <c r="B17" i="2"/>
  <c r="C17" i="2"/>
  <c r="F48" i="2"/>
  <c r="I48" i="2" s="1"/>
  <c r="F54" i="2"/>
  <c r="F61" i="2"/>
  <c r="F60" i="2"/>
  <c r="F57" i="2"/>
  <c r="F53" i="2"/>
  <c r="F59" i="2"/>
  <c r="F51" i="2"/>
  <c r="F58" i="2"/>
  <c r="F50" i="2"/>
  <c r="F49" i="2"/>
  <c r="I49" i="2" s="1"/>
  <c r="F52" i="2"/>
  <c r="F66" i="2"/>
  <c r="F63" i="2"/>
  <c r="F62" i="2"/>
  <c r="F67" i="2"/>
  <c r="F65" i="2"/>
  <c r="F64" i="2"/>
  <c r="F56" i="2"/>
  <c r="K50" i="2"/>
  <c r="G50" i="2"/>
  <c r="C50" i="2"/>
  <c r="L52" i="2"/>
  <c r="B64" i="2"/>
  <c r="B53" i="2"/>
  <c r="B60" i="2"/>
  <c r="B56" i="2"/>
  <c r="B51" i="2"/>
  <c r="B66" i="2"/>
  <c r="B50" i="2"/>
  <c r="B57" i="2"/>
  <c r="B49" i="2"/>
  <c r="B65" i="2"/>
  <c r="B54" i="2"/>
  <c r="B63" i="2"/>
  <c r="B62" i="2"/>
  <c r="B67" i="2"/>
  <c r="B48" i="2"/>
  <c r="B61" i="2"/>
  <c r="B58" i="2"/>
  <c r="B55" i="2"/>
  <c r="B52" i="2"/>
  <c r="B59" i="2"/>
  <c r="B38" i="1"/>
  <c r="B40" i="1"/>
  <c r="D19" i="2" l="1"/>
  <c r="J6" i="1" s="1"/>
  <c r="I6" i="1"/>
  <c r="I5" i="1"/>
  <c r="C19" i="2"/>
  <c r="J5" i="1" s="1"/>
  <c r="B19" i="2"/>
  <c r="J4" i="1" s="1"/>
  <c r="I4" i="1"/>
  <c r="F68" i="2"/>
  <c r="I50" i="2"/>
  <c r="M48" i="2"/>
  <c r="M50" i="2"/>
  <c r="M49" i="2"/>
  <c r="L53" i="2"/>
  <c r="G51" i="2"/>
  <c r="I51" i="2" s="1"/>
  <c r="C51" i="2"/>
  <c r="K51" i="2"/>
  <c r="M51" i="2" s="1"/>
  <c r="J68" i="2"/>
  <c r="B68" i="2"/>
  <c r="B39" i="1"/>
  <c r="B35" i="2"/>
  <c r="D48" i="2" s="1"/>
  <c r="E48" i="2" l="1"/>
  <c r="C52" i="2"/>
  <c r="G52" i="2"/>
  <c r="I52" i="2" s="1"/>
  <c r="K52" i="2"/>
  <c r="M52" i="2" s="1"/>
  <c r="L54" i="2"/>
  <c r="D49" i="2"/>
  <c r="E49" i="2" s="1"/>
  <c r="K53" i="2" l="1"/>
  <c r="M53" i="2" s="1"/>
  <c r="G53" i="2"/>
  <c r="I53" i="2" s="1"/>
  <c r="D50" i="2"/>
  <c r="E50" i="2" s="1"/>
  <c r="L55" i="2"/>
  <c r="C53" i="2"/>
  <c r="G54" i="2" l="1"/>
  <c r="I54" i="2" s="1"/>
  <c r="D51" i="2"/>
  <c r="E51" i="2" s="1"/>
  <c r="C54" i="2"/>
  <c r="L56" i="2"/>
  <c r="K54" i="2"/>
  <c r="M54" i="2" s="1"/>
  <c r="L57" i="2" l="1"/>
  <c r="C55" i="2"/>
  <c r="D52" i="2"/>
  <c r="E52" i="2" s="1"/>
  <c r="K55" i="2"/>
  <c r="M55" i="2" s="1"/>
  <c r="G55" i="2"/>
  <c r="I55" i="2" s="1"/>
  <c r="D53" i="2" l="1"/>
  <c r="E53" i="2" s="1"/>
  <c r="G56" i="2"/>
  <c r="I56" i="2" s="1"/>
  <c r="C56" i="2"/>
  <c r="K56" i="2"/>
  <c r="M56" i="2" s="1"/>
  <c r="L58" i="2"/>
  <c r="G57" i="2" l="1"/>
  <c r="I57" i="2" s="1"/>
  <c r="C57" i="2"/>
  <c r="L59" i="2"/>
  <c r="K57" i="2"/>
  <c r="M57" i="2" s="1"/>
  <c r="D54" i="2"/>
  <c r="E54" i="2" s="1"/>
  <c r="L60" i="2" l="1"/>
  <c r="C58" i="2"/>
  <c r="K58" i="2"/>
  <c r="M58" i="2" s="1"/>
  <c r="D55" i="2"/>
  <c r="E55" i="2" s="1"/>
  <c r="G58" i="2"/>
  <c r="I58" i="2" s="1"/>
  <c r="C59" i="2" l="1"/>
  <c r="G59" i="2"/>
  <c r="I59" i="2" s="1"/>
  <c r="D56" i="2"/>
  <c r="E56" i="2" s="1"/>
  <c r="K59" i="2"/>
  <c r="M59" i="2" s="1"/>
  <c r="L61" i="2"/>
  <c r="K60" i="2" l="1"/>
  <c r="M60" i="2" s="1"/>
  <c r="L62" i="2"/>
  <c r="G60" i="2"/>
  <c r="I60" i="2" s="1"/>
  <c r="D57" i="2"/>
  <c r="E57" i="2" s="1"/>
  <c r="C60" i="2"/>
  <c r="K61" i="2" l="1"/>
  <c r="M61" i="2" s="1"/>
  <c r="D58" i="2"/>
  <c r="E58" i="2" s="1"/>
  <c r="L63" i="2"/>
  <c r="C61" i="2"/>
  <c r="G61" i="2"/>
  <c r="I61" i="2" s="1"/>
  <c r="G62" i="2" l="1"/>
  <c r="I62" i="2" s="1"/>
  <c r="C62" i="2"/>
  <c r="L64" i="2"/>
  <c r="K62" i="2"/>
  <c r="M62" i="2" s="1"/>
  <c r="D59" i="2"/>
  <c r="E59" i="2" s="1"/>
  <c r="L65" i="2" l="1"/>
  <c r="K63" i="2"/>
  <c r="M63" i="2" s="1"/>
  <c r="C63" i="2"/>
  <c r="D60" i="2"/>
  <c r="E60" i="2" s="1"/>
  <c r="G63" i="2"/>
  <c r="I63" i="2" s="1"/>
  <c r="G64" i="2" l="1"/>
  <c r="I64" i="2" s="1"/>
  <c r="L66" i="2"/>
  <c r="D61" i="2"/>
  <c r="E61" i="2" s="1"/>
  <c r="C64" i="2"/>
  <c r="K64" i="2"/>
  <c r="M64" i="2" s="1"/>
  <c r="C65" i="2" l="1"/>
  <c r="L67" i="2"/>
  <c r="D62" i="2"/>
  <c r="E62" i="2" s="1"/>
  <c r="K65" i="2"/>
  <c r="M65" i="2" s="1"/>
  <c r="G65" i="2"/>
  <c r="I65" i="2" s="1"/>
  <c r="K66" i="2" l="1"/>
  <c r="M66" i="2" s="1"/>
  <c r="D63" i="2"/>
  <c r="E63" i="2" s="1"/>
  <c r="L68" i="2"/>
  <c r="G66" i="2"/>
  <c r="I66" i="2" s="1"/>
  <c r="C66" i="2"/>
  <c r="D64" i="2" l="1"/>
  <c r="E64" i="2" s="1"/>
  <c r="G67" i="2"/>
  <c r="I67" i="2" s="1"/>
  <c r="C67" i="2"/>
  <c r="K67" i="2"/>
  <c r="M67" i="2" s="1"/>
  <c r="D65" i="2" l="1"/>
  <c r="E65" i="2" s="1"/>
  <c r="C68" i="2"/>
  <c r="K68" i="2"/>
  <c r="M68" i="2" s="1"/>
  <c r="H6" i="1" s="1"/>
  <c r="G68" i="2"/>
  <c r="I68" i="2" l="1"/>
  <c r="H5" i="1" s="1"/>
  <c r="D66" i="2"/>
  <c r="E66" i="2" s="1"/>
  <c r="D67" i="2" l="1"/>
  <c r="E67" i="2" s="1"/>
  <c r="D68" i="2" l="1"/>
  <c r="E68" i="2" s="1"/>
  <c r="H4" i="1" s="1"/>
</calcChain>
</file>

<file path=xl/sharedStrings.xml><?xml version="1.0" encoding="utf-8"?>
<sst xmlns="http://schemas.openxmlformats.org/spreadsheetml/2006/main" count="191" uniqueCount="169">
  <si>
    <t>kWh/a</t>
  </si>
  <si>
    <t>Jahresheizstunden</t>
  </si>
  <si>
    <t>h</t>
  </si>
  <si>
    <t>benötigte Heizleistung</t>
  </si>
  <si>
    <t>kW</t>
  </si>
  <si>
    <t>m²</t>
  </si>
  <si>
    <t>kwh/m²*a</t>
  </si>
  <si>
    <t>W/m²</t>
  </si>
  <si>
    <t>kWh</t>
  </si>
  <si>
    <t>Klimaanlagen</t>
  </si>
  <si>
    <t>HT-WP im Altbau</t>
  </si>
  <si>
    <t>Beschreibung</t>
  </si>
  <si>
    <t>6 Innengeräte / 2 Außengeräte / 1 Brauchwasser WP</t>
  </si>
  <si>
    <t>z.B. Daikin 3 H HT</t>
  </si>
  <si>
    <t>Kosten Brauchwasser WP</t>
  </si>
  <si>
    <t>Kosten Klimageräte pro kw</t>
  </si>
  <si>
    <t>Investkosten abzügl. Förderung</t>
  </si>
  <si>
    <t>Jahresarbeitszahl (Gesamt)</t>
  </si>
  <si>
    <t>Jahresarbeitszahl (Heizung Klimaanlagen)</t>
  </si>
  <si>
    <t>Jahresarbeitszahl (Warmwasser)</t>
  </si>
  <si>
    <t>Brennstoffmenge  [kWh]</t>
  </si>
  <si>
    <t>Brennstoffkosten Euro/kwh</t>
  </si>
  <si>
    <t>Inflationsrate pro Jahr</t>
  </si>
  <si>
    <t>Nach Preisdeckel (80%) effekt. Preis €/kWh im Jahr 1</t>
  </si>
  <si>
    <t>Autarkiegrad durch PV-Anlage</t>
  </si>
  <si>
    <t>PV-Stromkosten (Abschreibung über 25 Jahre)</t>
  </si>
  <si>
    <t>Strombezugskosten / Gaskosten im Jahr 2</t>
  </si>
  <si>
    <t>Strombezugskosten / Gaskosten im Jahr 3</t>
  </si>
  <si>
    <t>Strombezugskosten / Gaskosten im Jahr 4</t>
  </si>
  <si>
    <t>Strombezugskosten / Gaskosten im Jahr 5</t>
  </si>
  <si>
    <t>Strombezugskosten / Gaskosten im Jahr 6</t>
  </si>
  <si>
    <t>Strombezugskosten / Gaskosten im Jahr 7</t>
  </si>
  <si>
    <t>Strombezugskosten / Gaskosten im Jahr 8</t>
  </si>
  <si>
    <t>Strombezugskosten / Gaskosten im Jahr 9</t>
  </si>
  <si>
    <t>Strombezugskosten / Gaskosten im Jahr 10</t>
  </si>
  <si>
    <t>Strombezugskosten / Gaskosten im Jahr 11</t>
  </si>
  <si>
    <t>Strombezugskosten / Gaskosten im Jahr 12</t>
  </si>
  <si>
    <t>Strombezugskosten / Gaskosten im Jahr 13</t>
  </si>
  <si>
    <t>Strombezugskosten / Gaskosten im Jahr 14</t>
  </si>
  <si>
    <t>Strombezugskosten / Gaskosten im Jahr 15</t>
  </si>
  <si>
    <t>Strombezugskosten / Gaskosten im Jahr 16</t>
  </si>
  <si>
    <t>Strombezugskosten / Gaskosten im Jahr 17</t>
  </si>
  <si>
    <t>Strombezugskosten / Gaskosten im Jahr 18</t>
  </si>
  <si>
    <t>Strombezugskosten / Gaskosten im Jahr 19</t>
  </si>
  <si>
    <t>Strombezugskosten / Gaskosten im Jahr 20</t>
  </si>
  <si>
    <t>Versicherung Öltanklager</t>
  </si>
  <si>
    <t>Überprüfung alle 5 Jahre der Tanks im Wasserschutzgebiet</t>
  </si>
  <si>
    <t>Gesamtkosten nach 20 Jahren</t>
  </si>
  <si>
    <t>Heizungstyp</t>
  </si>
  <si>
    <t>Bisheriger Brennstoffverbrauch</t>
  </si>
  <si>
    <t>Wieviele Personen leben im Haus?</t>
  </si>
  <si>
    <t>beheizte Wohnfläche</t>
  </si>
  <si>
    <t>davon für Warmwasser</t>
  </si>
  <si>
    <t>davon für die Raumheizung</t>
  </si>
  <si>
    <t>Heizenergie pro Fläche / Jahr</t>
  </si>
  <si>
    <t>Informationen zum Energiebedarf</t>
  </si>
  <si>
    <t>erforderliche Eingaben zum Haus</t>
  </si>
  <si>
    <t>Heizleistungsbedarf pro Fläche</t>
  </si>
  <si>
    <t>Brennwertgerät</t>
  </si>
  <si>
    <t>Gerät</t>
  </si>
  <si>
    <t>ohne Wirkungsgradverluste besteht folgender Wärmebedarf</t>
  </si>
  <si>
    <t>klassische Heizung ohne Brennwerttechnik</t>
  </si>
  <si>
    <t>neues Gasbrennwertgerät</t>
  </si>
  <si>
    <t>Strombezugskosten / Gaskosten + evtl. zus. Stromkosten + Grundgebühr im Jahr 1</t>
  </si>
  <si>
    <t>durchschn. Grundpreis Gasanschluss in Deutschland</t>
  </si>
  <si>
    <t>Preisdeckel laufen nur im ersten Jahr / MWST nur im ersten Jahr 7% bei Gas / dann 19%</t>
  </si>
  <si>
    <t>ab hier 15€/tonne Co2 Aufschlag gegen 2023</t>
  </si>
  <si>
    <t>ab hier 5€/Tonne CO2 Preisaufschlag gegen 2023</t>
  </si>
  <si>
    <t>ab hier 30€/tonne Co2 Aufschlag gegen 2023</t>
  </si>
  <si>
    <t>Strompreis</t>
  </si>
  <si>
    <t xml:space="preserve">Gaspreis </t>
  </si>
  <si>
    <t>€/kWh</t>
  </si>
  <si>
    <t>Einstellmöglichkeiten für Experten</t>
  </si>
  <si>
    <t xml:space="preserve">Nein </t>
  </si>
  <si>
    <t xml:space="preserve">Jahresarbeitszahl Wärmepumpe </t>
  </si>
  <si>
    <t>Jahresarbeitszahl Klimaanlage</t>
  </si>
  <si>
    <t>Installationskosten Speicher</t>
  </si>
  <si>
    <t>Installationskosten PV-Fläche</t>
  </si>
  <si>
    <t>€/kWp</t>
  </si>
  <si>
    <t>Gasgrundgebühr pro Jahr</t>
  </si>
  <si>
    <t>€/Jahr</t>
  </si>
  <si>
    <t>PV-Anlage</t>
  </si>
  <si>
    <t>installierte Speichermenge</t>
  </si>
  <si>
    <t xml:space="preserve">kWh </t>
  </si>
  <si>
    <t>Autarkie der WP</t>
  </si>
  <si>
    <t>resultierende Autarkie der WP durch PV (ca.)</t>
  </si>
  <si>
    <t>Installations-&amp;Anschaffungskosten Gastherme</t>
  </si>
  <si>
    <t>Installations-&amp;Anschaffungskosten Klimaanlagen pro kW Heizleistung</t>
  </si>
  <si>
    <t>pro kW Heizleistung</t>
  </si>
  <si>
    <t xml:space="preserve">Installations-&amp;Anschaffungskosten Brauchwasser-WP </t>
  </si>
  <si>
    <t>Vergleich neue Heizungsinstallation (Klimanlagen / WPs / Gasheizungen) im Altbau</t>
  </si>
  <si>
    <t>Installations-&amp;Anschaffungskosten Wärmepumpe abzgl. 25% Förderung</t>
  </si>
  <si>
    <t>Wartungskosten WP</t>
  </si>
  <si>
    <t>pro Jahr</t>
  </si>
  <si>
    <t>Energiekosten</t>
  </si>
  <si>
    <t>Wartungskosten</t>
  </si>
  <si>
    <t>AFA</t>
  </si>
  <si>
    <t>Wartungskosten Klimanlagen</t>
  </si>
  <si>
    <t>Energiekosten + GG</t>
  </si>
  <si>
    <t>Summe nach 20 Jahren</t>
  </si>
  <si>
    <t>Jahr</t>
  </si>
  <si>
    <t>Summe</t>
  </si>
  <si>
    <t>Wärmepumpe</t>
  </si>
  <si>
    <t>Jahr 1</t>
  </si>
  <si>
    <t>Jahr 2</t>
  </si>
  <si>
    <t>Jahr 3</t>
  </si>
  <si>
    <t>Jahr 4</t>
  </si>
  <si>
    <t>Jahr 5</t>
  </si>
  <si>
    <t>Jahr 6</t>
  </si>
  <si>
    <t>Jahr 7</t>
  </si>
  <si>
    <t>Jahr 8</t>
  </si>
  <si>
    <t>Jahr 9</t>
  </si>
  <si>
    <t>Jahr 10</t>
  </si>
  <si>
    <t>Jahr 11</t>
  </si>
  <si>
    <t>Jahr 12</t>
  </si>
  <si>
    <t>Jahr 13</t>
  </si>
  <si>
    <t>Jahr 14</t>
  </si>
  <si>
    <t>Jahr 15</t>
  </si>
  <si>
    <t>Jahr 16</t>
  </si>
  <si>
    <t>Jahr 17</t>
  </si>
  <si>
    <t>Jahr 18</t>
  </si>
  <si>
    <t>Jahr 19</t>
  </si>
  <si>
    <t>Jahr 20</t>
  </si>
  <si>
    <t xml:space="preserve">Co2-Menge </t>
  </si>
  <si>
    <t>gesamte bezogene Energiemenge</t>
  </si>
  <si>
    <t>Erdgastherme</t>
  </si>
  <si>
    <t>WP</t>
  </si>
  <si>
    <t>Klimaanlage</t>
  </si>
  <si>
    <t>Netzbezug spez. Emissionsfaktor</t>
  </si>
  <si>
    <t>g/kWh</t>
  </si>
  <si>
    <t>https://www.volker-quaschning.de/datserv/CO2-spez/index.php</t>
  </si>
  <si>
    <t>t</t>
  </si>
  <si>
    <t>https://www.umweltbundesamt.de/themen/klima-energie/energieversorgung/strom-waermeversorgung-in-zahlen#:~:text=Die%20spezifischen%20%E2%81%A0Treibhausgas%E2%81%A0,428%20g%2FkWh%20f%C3%BCr%202021.</t>
  </si>
  <si>
    <t>https://www.gruene-bundestag.de/fileadmin/media/gruenebundestag_de/themen_az/mobilitaet/pdf/200831-Studie_EAuto_versus_Verbrenner_CO2.pdf</t>
  </si>
  <si>
    <t>Co2-Emission Batterieproduktion</t>
  </si>
  <si>
    <t>kg/kWh</t>
  </si>
  <si>
    <t>PV spez. Emission</t>
  </si>
  <si>
    <t>https://www.wegatech.de/ratgeber/photovoltaik/grundlagen/co2-bilanz-photovoltaik/#:~:text=Die%20Emissionen%2C%20die%20bei%20der,Kilowattstunde%20(kWh)%20Solarstrom%20aus.</t>
  </si>
  <si>
    <t>PV Kapazität</t>
  </si>
  <si>
    <t>PV Strommenge nach 20 Jahren</t>
  </si>
  <si>
    <t>spez- PV-Ertrag</t>
  </si>
  <si>
    <t>kwh/kwp</t>
  </si>
  <si>
    <t>gespeicherte Strommenge nach 20 Jahren</t>
  </si>
  <si>
    <t>Batteriezyklen pro Jahr</t>
  </si>
  <si>
    <t>Batterieproduktion Co2-Emission</t>
  </si>
  <si>
    <t>spezische Emission Batterie und PV System</t>
  </si>
  <si>
    <t>spez- Emission nur Batterie kwh</t>
  </si>
  <si>
    <t>g Co2 / kwh</t>
  </si>
  <si>
    <t>Eingabefeld</t>
  </si>
  <si>
    <t>Ausgabefeld</t>
  </si>
  <si>
    <t>Gasbrennwertgerät</t>
  </si>
  <si>
    <t>Ja, kleine PV-Anlage (8kWp) ohne Batterie</t>
  </si>
  <si>
    <t>Ja, kleine PV-Anlage (8kWp) mit kleiner Batterie (8kWh)</t>
  </si>
  <si>
    <t>Ja, große PV-Anlage (16kWp) ohne Batterie</t>
  </si>
  <si>
    <t>Ja, große PV-Anlage (16kWp) mit kleiner Batterie (8kWh)</t>
  </si>
  <si>
    <t>Ja, große PV-Anlage (16kWp) mit großer Batterie (20kWh)</t>
  </si>
  <si>
    <t>Gunther Wiehl</t>
  </si>
  <si>
    <t>Installations-&amp;Anschaffungskosten Wärmepumpe vor Förderung</t>
  </si>
  <si>
    <t>Wartungskosten Gas-/Ölheizung inkl. Schornsteinfeger</t>
  </si>
  <si>
    <t>jährl. Energiebezug aus dem Netz</t>
  </si>
  <si>
    <t>jährliche CO2-Ausstoß</t>
  </si>
  <si>
    <t>Ergasheizung mit Brennwerttechnik</t>
  </si>
  <si>
    <t>Ergasheizung ohne Brennwerttechnik</t>
  </si>
  <si>
    <t>Ölheizung ohne Brennwerttechnik</t>
  </si>
  <si>
    <t>Ölheizung mit Brennwerttechnik</t>
  </si>
  <si>
    <t>Nachtspeicherofen</t>
  </si>
  <si>
    <t>Der Energiebezug aus dem Netz ist</t>
  </si>
  <si>
    <r>
      <t xml:space="preserve">Bisherige Heizungsart </t>
    </r>
    <r>
      <rPr>
        <sz val="11"/>
        <color theme="4"/>
        <rFont val="Calibri"/>
        <family val="2"/>
        <scheme val="minor"/>
      </rPr>
      <t>(rechts auf Feld klicken und auswählen)</t>
    </r>
  </si>
  <si>
    <r>
      <t xml:space="preserve">PV-Anlage vorhanden? </t>
    </r>
    <r>
      <rPr>
        <sz val="11"/>
        <color theme="4"/>
        <rFont val="Calibri"/>
        <family val="2"/>
      </rPr>
      <t>(rechts auf Feld klicken und auswählen)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</si>
</sst>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€&quot;_-;\-* #,##0.00\ &quot;€&quot;_-;_-* &quot;-&quot;??\ &quot;€&quot;_-;_-@_-"/>
    <numFmt numFmtId="164" formatCode="0.0"/>
    <numFmt numFmtId="165" formatCode="_-* #,##0.00\ &quot;€&quot;_-;\-* #,##0.00\ &quot;€&quot;_-;_-* &quot;-&quot;??\ &quot;€&quot;_-;_-@"/>
    <numFmt numFmtId="166" formatCode="_-* #,##0.000\ &quot;€&quot;_-;\-* #,##0.000\ &quot;€&quot;_-;_-* &quot;-&quot;??\ &quot;€&quot;_-;_-@"/>
    <numFmt numFmtId="167" formatCode="_-* #,##0.000\ &quot;€&quot;_-;\-* #,##0.000\ &quot;€&quot;_-;_-* &quot;-&quot;???\ &quot;€&quot;_-;_-@"/>
    <numFmt numFmtId="168" formatCode="_-* #,##0\ &quot;€&quot;_-;\-* #,##0\ &quot;€&quot;_-;_-* &quot;-&quot;???\ &quot;€&quot;_-;_-@"/>
    <numFmt numFmtId="169" formatCode="_-* #,##0\ &quot;€&quot;_-;\-* #,##0\ &quot;€&quot;_-;_-* &quot;-&quot;??\ &quot;€&quot;_-;_-@_-"/>
    <numFmt numFmtId="170" formatCode="_-* #,##0.00\ &quot;€&quot;_-;\-* #,##0.00\ &quot;€&quot;_-;_-* &quot;-&quot;???\ &quot;€&quot;_-;_-@"/>
    <numFmt numFmtId="171" formatCode="0\ &quot;kWh&quot;"/>
    <numFmt numFmtId="172" formatCode="0.0\ &quot;t CO2&quot;"/>
  </numFmts>
  <fonts count="23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</font>
    <font>
      <sz val="11"/>
      <color theme="1"/>
      <name val="Calibri"/>
      <scheme val="minor"/>
    </font>
    <font>
      <sz val="11"/>
      <name val="Calibri"/>
    </font>
    <font>
      <b/>
      <sz val="18"/>
      <color rgb="FFFF0000"/>
      <name val="Calibri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b/>
      <u/>
      <sz val="18"/>
      <color theme="1"/>
      <name val="Calibri"/>
      <family val="2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2"/>
      <color rgb="FF92D05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2">
    <xf numFmtId="0" fontId="0" fillId="0" borderId="0" xfId="0"/>
    <xf numFmtId="0" fontId="5" fillId="0" borderId="1" xfId="0" applyFont="1" applyBorder="1"/>
    <xf numFmtId="0" fontId="6" fillId="0" borderId="0" xfId="0" applyFont="1"/>
    <xf numFmtId="165" fontId="5" fillId="0" borderId="1" xfId="0" applyNumberFormat="1" applyFont="1" applyBorder="1"/>
    <xf numFmtId="1" fontId="5" fillId="0" borderId="1" xfId="0" applyNumberFormat="1" applyFont="1" applyBorder="1"/>
    <xf numFmtId="166" fontId="5" fillId="0" borderId="1" xfId="0" applyNumberFormat="1" applyFont="1" applyBorder="1"/>
    <xf numFmtId="0" fontId="5" fillId="0" borderId="2" xfId="0" applyFont="1" applyBorder="1"/>
    <xf numFmtId="9" fontId="5" fillId="0" borderId="1" xfId="0" applyNumberFormat="1" applyFont="1" applyBorder="1"/>
    <xf numFmtId="0" fontId="8" fillId="0" borderId="2" xfId="0" applyFont="1" applyBorder="1"/>
    <xf numFmtId="167" fontId="8" fillId="0" borderId="0" xfId="0" applyNumberFormat="1" applyFont="1"/>
    <xf numFmtId="166" fontId="5" fillId="0" borderId="0" xfId="0" applyNumberFormat="1" applyFont="1"/>
    <xf numFmtId="14" fontId="0" fillId="0" borderId="0" xfId="0" applyNumberFormat="1"/>
    <xf numFmtId="0" fontId="0" fillId="0" borderId="5" xfId="0" applyBorder="1"/>
    <xf numFmtId="0" fontId="4" fillId="0" borderId="5" xfId="0" applyFont="1" applyBorder="1"/>
    <xf numFmtId="0" fontId="5" fillId="0" borderId="5" xfId="0" applyFont="1" applyBorder="1"/>
    <xf numFmtId="0" fontId="9" fillId="0" borderId="5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0" fontId="9" fillId="0" borderId="2" xfId="0" applyFont="1" applyBorder="1"/>
    <xf numFmtId="9" fontId="5" fillId="0" borderId="3" xfId="0" applyNumberFormat="1" applyFont="1" applyBorder="1" applyAlignment="1">
      <alignment vertical="center"/>
    </xf>
    <xf numFmtId="9" fontId="5" fillId="0" borderId="4" xfId="0" applyNumberFormat="1" applyFont="1" applyBorder="1" applyAlignment="1">
      <alignment vertical="center"/>
    </xf>
    <xf numFmtId="0" fontId="7" fillId="0" borderId="4" xfId="0" applyFont="1" applyBorder="1"/>
    <xf numFmtId="0" fontId="5" fillId="0" borderId="6" xfId="0" applyFont="1" applyBorder="1"/>
    <xf numFmtId="165" fontId="5" fillId="0" borderId="6" xfId="0" applyNumberFormat="1" applyFont="1" applyBorder="1"/>
    <xf numFmtId="0" fontId="3" fillId="0" borderId="5" xfId="0" applyFont="1" applyBorder="1"/>
    <xf numFmtId="167" fontId="5" fillId="0" borderId="5" xfId="0" applyNumberFormat="1" applyFont="1" applyBorder="1"/>
    <xf numFmtId="165" fontId="5" fillId="0" borderId="5" xfId="0" applyNumberFormat="1" applyFont="1" applyBorder="1"/>
    <xf numFmtId="170" fontId="5" fillId="0" borderId="5" xfId="0" applyNumberFormat="1" applyFont="1" applyBorder="1"/>
    <xf numFmtId="165" fontId="0" fillId="0" borderId="5" xfId="0" applyNumberFormat="1" applyBorder="1"/>
    <xf numFmtId="168" fontId="5" fillId="0" borderId="5" xfId="0" applyNumberFormat="1" applyFont="1" applyBorder="1"/>
    <xf numFmtId="0" fontId="0" fillId="0" borderId="5" xfId="0" applyBorder="1" applyAlignment="1">
      <alignment horizontal="center" vertical="center"/>
    </xf>
    <xf numFmtId="165" fontId="5" fillId="0" borderId="0" xfId="0" applyNumberFormat="1" applyFont="1"/>
    <xf numFmtId="0" fontId="0" fillId="0" borderId="0" xfId="0" applyAlignment="1">
      <alignment horizontal="center" vertical="center"/>
    </xf>
    <xf numFmtId="1" fontId="0" fillId="0" borderId="0" xfId="0" applyNumberFormat="1"/>
    <xf numFmtId="2" fontId="0" fillId="0" borderId="0" xfId="0" applyNumberFormat="1"/>
    <xf numFmtId="0" fontId="12" fillId="0" borderId="5" xfId="0" applyFont="1" applyBorder="1"/>
    <xf numFmtId="0" fontId="9" fillId="0" borderId="7" xfId="0" applyFont="1" applyBorder="1"/>
    <xf numFmtId="169" fontId="18" fillId="3" borderId="5" xfId="1" applyNumberFormat="1" applyFont="1" applyFill="1" applyBorder="1"/>
    <xf numFmtId="172" fontId="19" fillId="3" borderId="5" xfId="1" applyNumberFormat="1" applyFont="1" applyFill="1" applyBorder="1"/>
    <xf numFmtId="171" fontId="20" fillId="3" borderId="5" xfId="1" applyNumberFormat="1" applyFont="1" applyFill="1" applyBorder="1"/>
    <xf numFmtId="0" fontId="3" fillId="3" borderId="0" xfId="0" applyFont="1" applyFill="1"/>
    <xf numFmtId="0" fontId="3" fillId="2" borderId="0" xfId="0" applyFont="1" applyFill="1"/>
    <xf numFmtId="0" fontId="0" fillId="4" borderId="0" xfId="0" applyFill="1"/>
    <xf numFmtId="0" fontId="3" fillId="4" borderId="0" xfId="0" applyFont="1" applyFill="1" applyAlignment="1">
      <alignment horizontal="right"/>
    </xf>
    <xf numFmtId="0" fontId="15" fillId="4" borderId="0" xfId="0" applyFont="1" applyFill="1"/>
    <xf numFmtId="0" fontId="10" fillId="4" borderId="0" xfId="0" applyFont="1" applyFill="1"/>
    <xf numFmtId="0" fontId="6" fillId="4" borderId="0" xfId="0" applyFont="1" applyFill="1"/>
    <xf numFmtId="0" fontId="9" fillId="4" borderId="0" xfId="0" applyFont="1" applyFill="1"/>
    <xf numFmtId="14" fontId="0" fillId="4" borderId="0" xfId="0" applyNumberFormat="1" applyFill="1" applyAlignment="1">
      <alignment horizontal="right"/>
    </xf>
    <xf numFmtId="0" fontId="0" fillId="4" borderId="0" xfId="0" applyFill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5" fillId="2" borderId="5" xfId="0" applyFont="1" applyFill="1" applyBorder="1" applyAlignment="1" applyProtection="1">
      <alignment horizontal="right"/>
      <protection locked="0"/>
    </xf>
    <xf numFmtId="0" fontId="5" fillId="0" borderId="5" xfId="0" applyFont="1" applyBorder="1" applyProtection="1">
      <protection locked="0"/>
    </xf>
    <xf numFmtId="44" fontId="5" fillId="2" borderId="5" xfId="1" applyFont="1" applyFill="1" applyBorder="1" applyAlignment="1" applyProtection="1">
      <alignment horizontal="right" vertical="center"/>
      <protection locked="0"/>
    </xf>
    <xf numFmtId="0" fontId="9" fillId="0" borderId="5" xfId="0" applyFont="1" applyBorder="1" applyProtection="1">
      <protection locked="0"/>
    </xf>
    <xf numFmtId="44" fontId="5" fillId="2" borderId="9" xfId="1" applyFont="1" applyFill="1" applyBorder="1" applyAlignment="1" applyProtection="1">
      <alignment horizontal="right" vertical="center"/>
      <protection locked="0"/>
    </xf>
    <xf numFmtId="9" fontId="5" fillId="2" borderId="5" xfId="0" applyNumberFormat="1" applyFont="1" applyFill="1" applyBorder="1" applyAlignment="1" applyProtection="1">
      <alignment horizontal="right"/>
      <protection locked="0"/>
    </xf>
    <xf numFmtId="0" fontId="5" fillId="0" borderId="8" xfId="0" applyFont="1" applyBorder="1" applyProtection="1">
      <protection locked="0"/>
    </xf>
    <xf numFmtId="0" fontId="5" fillId="4" borderId="0" xfId="0" applyFont="1" applyFill="1" applyAlignment="1" applyProtection="1">
      <alignment horizontal="center"/>
      <protection locked="0"/>
    </xf>
    <xf numFmtId="0" fontId="5" fillId="4" borderId="0" xfId="0" applyFont="1" applyFill="1" applyProtection="1">
      <protection locked="0"/>
    </xf>
    <xf numFmtId="0" fontId="9" fillId="2" borderId="5" xfId="0" applyFont="1" applyFill="1" applyBorder="1" applyAlignment="1" applyProtection="1">
      <alignment horizontal="right"/>
      <protection locked="0"/>
    </xf>
    <xf numFmtId="169" fontId="9" fillId="2" borderId="5" xfId="1" applyNumberFormat="1" applyFont="1" applyFill="1" applyBorder="1" applyAlignment="1" applyProtection="1">
      <alignment horizontal="right"/>
      <protection locked="0"/>
    </xf>
    <xf numFmtId="169" fontId="9" fillId="2" borderId="5" xfId="1" applyNumberFormat="1" applyFont="1" applyFill="1" applyBorder="1" applyAlignment="1" applyProtection="1">
      <alignment horizontal="center"/>
      <protection locked="0"/>
    </xf>
    <xf numFmtId="169" fontId="0" fillId="2" borderId="0" xfId="1" applyNumberFormat="1" applyFont="1" applyFill="1" applyProtection="1">
      <protection locked="0"/>
    </xf>
    <xf numFmtId="0" fontId="0" fillId="4" borderId="0" xfId="0" applyFill="1" applyAlignment="1">
      <alignment horizontal="center"/>
    </xf>
    <xf numFmtId="0" fontId="5" fillId="3" borderId="5" xfId="0" applyFont="1" applyFill="1" applyBorder="1" applyAlignment="1">
      <alignment horizontal="right"/>
    </xf>
    <xf numFmtId="1" fontId="0" fillId="3" borderId="5" xfId="0" applyNumberFormat="1" applyFill="1" applyBorder="1" applyAlignment="1">
      <alignment horizontal="right"/>
    </xf>
    <xf numFmtId="1" fontId="5" fillId="3" borderId="5" xfId="0" applyNumberFormat="1" applyFont="1" applyFill="1" applyBorder="1" applyAlignment="1">
      <alignment horizontal="right"/>
    </xf>
    <xf numFmtId="164" fontId="5" fillId="3" borderId="5" xfId="0" applyNumberFormat="1" applyFont="1" applyFill="1" applyBorder="1" applyAlignment="1">
      <alignment horizontal="right"/>
    </xf>
    <xf numFmtId="164" fontId="13" fillId="3" borderId="5" xfId="0" applyNumberFormat="1" applyFont="1" applyFill="1" applyBorder="1" applyAlignment="1">
      <alignment horizontal="right"/>
    </xf>
    <xf numFmtId="0" fontId="0" fillId="3" borderId="5" xfId="0" applyFill="1" applyBorder="1" applyAlignment="1">
      <alignment horizontal="right"/>
    </xf>
    <xf numFmtId="9" fontId="0" fillId="3" borderId="5" xfId="2" applyFont="1" applyFill="1" applyBorder="1" applyAlignment="1" applyProtection="1">
      <alignment horizontal="right"/>
    </xf>
    <xf numFmtId="169" fontId="9" fillId="3" borderId="5" xfId="1" applyNumberFormat="1" applyFont="1" applyFill="1" applyBorder="1" applyAlignment="1" applyProtection="1">
      <alignment horizontal="right"/>
    </xf>
    <xf numFmtId="0" fontId="9" fillId="4" borderId="5" xfId="0" applyFont="1" applyFill="1" applyBorder="1" applyProtection="1">
      <protection locked="0"/>
    </xf>
    <xf numFmtId="0" fontId="9" fillId="4" borderId="5" xfId="0" applyFont="1" applyFill="1" applyBorder="1" applyAlignment="1">
      <alignment horizontal="right"/>
    </xf>
    <xf numFmtId="0" fontId="2" fillId="0" borderId="0" xfId="0" applyFont="1"/>
    <xf numFmtId="0" fontId="2" fillId="4" borderId="0" xfId="0" applyFont="1" applyFill="1"/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6" fillId="0" borderId="9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center"/>
      <protection locked="0"/>
    </xf>
    <xf numFmtId="168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3">
    <cellStyle name="Prozent" xfId="2" builtinId="5"/>
    <cellStyle name="Standard" xfId="0" builtinId="0"/>
    <cellStyle name="Währung" xfId="1" builtinId="4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679E2A"/>
      <color rgb="FFC9E7A7"/>
      <color rgb="FF80C535"/>
      <color rgb="FFDBECD0"/>
      <color rgb="FF19FF81"/>
      <color rgb="FF00D0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Kostenentwicklung über 20 Jahre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Klimaanlagen mit Brauchwasser-WP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'Rechnungen '!$O$48:$O$67</c:f>
              <c:strCache>
                <c:ptCount val="20"/>
                <c:pt idx="0">
                  <c:v>Jahr 1</c:v>
                </c:pt>
                <c:pt idx="1">
                  <c:v>Jahr 2</c:v>
                </c:pt>
                <c:pt idx="2">
                  <c:v>Jahr 3</c:v>
                </c:pt>
                <c:pt idx="3">
                  <c:v>Jahr 4</c:v>
                </c:pt>
                <c:pt idx="4">
                  <c:v>Jahr 5</c:v>
                </c:pt>
                <c:pt idx="5">
                  <c:v>Jahr 6</c:v>
                </c:pt>
                <c:pt idx="6">
                  <c:v>Jahr 7</c:v>
                </c:pt>
                <c:pt idx="7">
                  <c:v>Jahr 8</c:v>
                </c:pt>
                <c:pt idx="8">
                  <c:v>Jahr 9</c:v>
                </c:pt>
                <c:pt idx="9">
                  <c:v>Jahr 10</c:v>
                </c:pt>
                <c:pt idx="10">
                  <c:v>Jahr 11</c:v>
                </c:pt>
                <c:pt idx="11">
                  <c:v>Jahr 12</c:v>
                </c:pt>
                <c:pt idx="12">
                  <c:v>Jahr 13</c:v>
                </c:pt>
                <c:pt idx="13">
                  <c:v>Jahr 14</c:v>
                </c:pt>
                <c:pt idx="14">
                  <c:v>Jahr 15</c:v>
                </c:pt>
                <c:pt idx="15">
                  <c:v>Jahr 16</c:v>
                </c:pt>
                <c:pt idx="16">
                  <c:v>Jahr 17</c:v>
                </c:pt>
                <c:pt idx="17">
                  <c:v>Jahr 18</c:v>
                </c:pt>
                <c:pt idx="18">
                  <c:v>Jahr 19</c:v>
                </c:pt>
                <c:pt idx="19">
                  <c:v>Jahr 20</c:v>
                </c:pt>
              </c:strCache>
            </c:strRef>
          </c:cat>
          <c:val>
            <c:numRef>
              <c:f>'Rechnungen '!$E$48:$E$67</c:f>
              <c:numCache>
                <c:formatCode>_-* #,##0.00\ "€"_-;\-* #,##0.00\ "€"_-;_-* "-"??\ "€"_-;_-@</c:formatCode>
                <c:ptCount val="20"/>
                <c:pt idx="0">
                  <c:v>2935.8211363636365</c:v>
                </c:pt>
                <c:pt idx="1">
                  <c:v>2988.8877306818181</c:v>
                </c:pt>
                <c:pt idx="2">
                  <c:v>3043.5463228295457</c:v>
                </c:pt>
                <c:pt idx="3">
                  <c:v>3099.8446727417045</c:v>
                </c:pt>
                <c:pt idx="4">
                  <c:v>3157.8319731512283</c:v>
                </c:pt>
                <c:pt idx="5">
                  <c:v>3217.5588925730381</c:v>
                </c:pt>
                <c:pt idx="6">
                  <c:v>3279.0776195775015</c:v>
                </c:pt>
                <c:pt idx="7">
                  <c:v>3342.4419083920993</c:v>
                </c:pt>
                <c:pt idx="8">
                  <c:v>3407.7071258711353</c:v>
                </c:pt>
                <c:pt idx="9">
                  <c:v>3474.9302998745425</c:v>
                </c:pt>
                <c:pt idx="10">
                  <c:v>3544.1701690980512</c:v>
                </c:pt>
                <c:pt idx="11">
                  <c:v>3615.4872343982656</c:v>
                </c:pt>
                <c:pt idx="12">
                  <c:v>3688.9438116574856</c:v>
                </c:pt>
                <c:pt idx="13">
                  <c:v>3764.6040862344835</c:v>
                </c:pt>
                <c:pt idx="14">
                  <c:v>3842.5341690487908</c:v>
                </c:pt>
                <c:pt idx="15">
                  <c:v>3922.8021543475274</c:v>
                </c:pt>
                <c:pt idx="16">
                  <c:v>4005.4781792052254</c:v>
                </c:pt>
                <c:pt idx="17">
                  <c:v>4090.6344848086555</c:v>
                </c:pt>
                <c:pt idx="18">
                  <c:v>4178.3454795801881</c:v>
                </c:pt>
                <c:pt idx="19">
                  <c:v>4268.6878041948657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E87-445E-936C-E34B3B7A1E11}"/>
            </c:ext>
          </c:extLst>
        </c:ser>
        <c:ser>
          <c:idx val="1"/>
          <c:order val="1"/>
          <c:tx>
            <c:v>Wärmepumpe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'Rechnungen '!$O$48:$O$67</c:f>
              <c:strCache>
                <c:ptCount val="20"/>
                <c:pt idx="0">
                  <c:v>Jahr 1</c:v>
                </c:pt>
                <c:pt idx="1">
                  <c:v>Jahr 2</c:v>
                </c:pt>
                <c:pt idx="2">
                  <c:v>Jahr 3</c:v>
                </c:pt>
                <c:pt idx="3">
                  <c:v>Jahr 4</c:v>
                </c:pt>
                <c:pt idx="4">
                  <c:v>Jahr 5</c:v>
                </c:pt>
                <c:pt idx="5">
                  <c:v>Jahr 6</c:v>
                </c:pt>
                <c:pt idx="6">
                  <c:v>Jahr 7</c:v>
                </c:pt>
                <c:pt idx="7">
                  <c:v>Jahr 8</c:v>
                </c:pt>
                <c:pt idx="8">
                  <c:v>Jahr 9</c:v>
                </c:pt>
                <c:pt idx="9">
                  <c:v>Jahr 10</c:v>
                </c:pt>
                <c:pt idx="10">
                  <c:v>Jahr 11</c:v>
                </c:pt>
                <c:pt idx="11">
                  <c:v>Jahr 12</c:v>
                </c:pt>
                <c:pt idx="12">
                  <c:v>Jahr 13</c:v>
                </c:pt>
                <c:pt idx="13">
                  <c:v>Jahr 14</c:v>
                </c:pt>
                <c:pt idx="14">
                  <c:v>Jahr 15</c:v>
                </c:pt>
                <c:pt idx="15">
                  <c:v>Jahr 16</c:v>
                </c:pt>
                <c:pt idx="16">
                  <c:v>Jahr 17</c:v>
                </c:pt>
                <c:pt idx="17">
                  <c:v>Jahr 18</c:v>
                </c:pt>
                <c:pt idx="18">
                  <c:v>Jahr 19</c:v>
                </c:pt>
                <c:pt idx="19">
                  <c:v>Jahr 20</c:v>
                </c:pt>
              </c:strCache>
            </c:strRef>
          </c:cat>
          <c:val>
            <c:numRef>
              <c:f>'Rechnungen '!$I$48:$I$67</c:f>
              <c:numCache>
                <c:formatCode>_-* #,##0.00\ "€"_-;\-* #,##0.00\ "€"_-;_-* "-"??\ "€"_-;_-@</c:formatCode>
                <c:ptCount val="20"/>
                <c:pt idx="0">
                  <c:v>3125.564736842105</c:v>
                </c:pt>
                <c:pt idx="1">
                  <c:v>3163.6998368421055</c:v>
                </c:pt>
                <c:pt idx="2">
                  <c:v>3202.9789898421054</c:v>
                </c:pt>
                <c:pt idx="3">
                  <c:v>3243.4365174321056</c:v>
                </c:pt>
                <c:pt idx="4">
                  <c:v>3285.1077708498055</c:v>
                </c:pt>
                <c:pt idx="5">
                  <c:v>3328.0291618700362</c:v>
                </c:pt>
                <c:pt idx="6">
                  <c:v>3372.2381946208743</c:v>
                </c:pt>
                <c:pt idx="7">
                  <c:v>3417.7734983542373</c:v>
                </c:pt>
                <c:pt idx="8">
                  <c:v>3464.6748611996013</c:v>
                </c:pt>
                <c:pt idx="9">
                  <c:v>3512.9832649303262</c:v>
                </c:pt>
                <c:pt idx="10">
                  <c:v>3562.7409207729729</c:v>
                </c:pt>
                <c:pt idx="11">
                  <c:v>3613.991306290899</c:v>
                </c:pt>
                <c:pt idx="12">
                  <c:v>3666.7792033743622</c:v>
                </c:pt>
                <c:pt idx="13">
                  <c:v>3721.1507373703303</c:v>
                </c:pt>
                <c:pt idx="14">
                  <c:v>3777.1534173861769</c:v>
                </c:pt>
                <c:pt idx="15">
                  <c:v>3834.8361778024992</c:v>
                </c:pt>
                <c:pt idx="16">
                  <c:v>3894.2494210313107</c:v>
                </c:pt>
                <c:pt idx="17">
                  <c:v>3955.4450615569867</c:v>
                </c:pt>
                <c:pt idx="18">
                  <c:v>4018.4765712984331</c:v>
                </c:pt>
                <c:pt idx="19">
                  <c:v>4083.399026332123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E87-445E-936C-E34B3B7A1E11}"/>
            </c:ext>
          </c:extLst>
        </c:ser>
        <c:ser>
          <c:idx val="2"/>
          <c:order val="2"/>
          <c:tx>
            <c:v>Gasheizung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'Rechnungen '!$O$48:$O$67</c:f>
              <c:strCache>
                <c:ptCount val="20"/>
                <c:pt idx="0">
                  <c:v>Jahr 1</c:v>
                </c:pt>
                <c:pt idx="1">
                  <c:v>Jahr 2</c:v>
                </c:pt>
                <c:pt idx="2">
                  <c:v>Jahr 3</c:v>
                </c:pt>
                <c:pt idx="3">
                  <c:v>Jahr 4</c:v>
                </c:pt>
                <c:pt idx="4">
                  <c:v>Jahr 5</c:v>
                </c:pt>
                <c:pt idx="5">
                  <c:v>Jahr 6</c:v>
                </c:pt>
                <c:pt idx="6">
                  <c:v>Jahr 7</c:v>
                </c:pt>
                <c:pt idx="7">
                  <c:v>Jahr 8</c:v>
                </c:pt>
                <c:pt idx="8">
                  <c:v>Jahr 9</c:v>
                </c:pt>
                <c:pt idx="9">
                  <c:v>Jahr 10</c:v>
                </c:pt>
                <c:pt idx="10">
                  <c:v>Jahr 11</c:v>
                </c:pt>
                <c:pt idx="11">
                  <c:v>Jahr 12</c:v>
                </c:pt>
                <c:pt idx="12">
                  <c:v>Jahr 13</c:v>
                </c:pt>
                <c:pt idx="13">
                  <c:v>Jahr 14</c:v>
                </c:pt>
                <c:pt idx="14">
                  <c:v>Jahr 15</c:v>
                </c:pt>
                <c:pt idx="15">
                  <c:v>Jahr 16</c:v>
                </c:pt>
                <c:pt idx="16">
                  <c:v>Jahr 17</c:v>
                </c:pt>
                <c:pt idx="17">
                  <c:v>Jahr 18</c:v>
                </c:pt>
                <c:pt idx="18">
                  <c:v>Jahr 19</c:v>
                </c:pt>
                <c:pt idx="19">
                  <c:v>Jahr 20</c:v>
                </c:pt>
              </c:strCache>
            </c:strRef>
          </c:cat>
          <c:val>
            <c:numRef>
              <c:f>'Rechnungen '!$M$48:$M$67</c:f>
              <c:numCache>
                <c:formatCode>_-* #,##0.00\ "€"_-;\-* #,##0.00\ "€"_-;_-* "-"??\ "€"_-;_-@</c:formatCode>
                <c:ptCount val="20"/>
                <c:pt idx="0">
                  <c:v>3176.5644736842105</c:v>
                </c:pt>
                <c:pt idx="1">
                  <c:v>3552.7493419822922</c:v>
                </c:pt>
                <c:pt idx="2">
                  <c:v>3686.413821715445</c:v>
                </c:pt>
                <c:pt idx="3">
                  <c:v>3844.1679716300664</c:v>
                </c:pt>
                <c:pt idx="4">
                  <c:v>3940.6479549894948</c:v>
                </c:pt>
                <c:pt idx="5">
                  <c:v>4040.0223378497058</c:v>
                </c:pt>
                <c:pt idx="6">
                  <c:v>4142.3779521957231</c:v>
                </c:pt>
                <c:pt idx="7">
                  <c:v>4247.8042349721218</c:v>
                </c:pt>
                <c:pt idx="8">
                  <c:v>4356.393306231811</c:v>
                </c:pt>
                <c:pt idx="9">
                  <c:v>4468.2400496292912</c:v>
                </c:pt>
                <c:pt idx="10">
                  <c:v>4583.4421953286974</c:v>
                </c:pt>
                <c:pt idx="11">
                  <c:v>4702.1004053990846</c:v>
                </c:pt>
                <c:pt idx="12">
                  <c:v>4824.3183617715822</c:v>
                </c:pt>
                <c:pt idx="13">
                  <c:v>4950.2028568352562</c:v>
                </c:pt>
                <c:pt idx="14">
                  <c:v>5079.8638867508398</c:v>
                </c:pt>
                <c:pt idx="15">
                  <c:v>5213.414747563892</c:v>
                </c:pt>
                <c:pt idx="16">
                  <c:v>5350.9721342013345</c:v>
                </c:pt>
                <c:pt idx="17">
                  <c:v>5492.6562424379008</c:v>
                </c:pt>
                <c:pt idx="18">
                  <c:v>5638.5908739215638</c:v>
                </c:pt>
                <c:pt idx="19">
                  <c:v>5788.9035443497378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E87-445E-936C-E34B3B7A1E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832672224"/>
        <c:axId val="-1832659168"/>
      </c:barChart>
      <c:catAx>
        <c:axId val="-1832672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832659168"/>
        <c:crosses val="autoZero"/>
        <c:auto val="1"/>
        <c:lblAlgn val="ctr"/>
        <c:lblOffset val="100"/>
        <c:noMultiLvlLbl val="0"/>
      </c:catAx>
      <c:valAx>
        <c:axId val="-183265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Gesamtkosten</a:t>
                </a:r>
                <a:r>
                  <a:rPr lang="de-DE" sz="1400" baseline="0"/>
                  <a:t> </a:t>
                </a:r>
                <a:br>
                  <a:rPr lang="de-DE" sz="1400" baseline="0"/>
                </a:br>
                <a:r>
                  <a:rPr lang="de-DE" sz="1400" baseline="0"/>
                  <a:t>(Energie, Abschreibung, Wartung)</a:t>
                </a:r>
                <a:endParaRPr lang="de-DE" sz="14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_-* #,##0.00\ &quot;€&quot;_-;\-* #,##0.00\ &quot;€&quot;_-;_-* &quot;-&quot;??\ &quot;€&quot;_-;_-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83267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Klimaanlagen - </a:t>
            </a:r>
            <a:r>
              <a:rPr lang="de-DE" sz="1400" b="0" i="0" u="none" strike="noStrike" baseline="0">
                <a:effectLst/>
              </a:rPr>
              <a:t>Kostenentwicklung über 20 Jahre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Energiekosten</c:v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'Rechnungen '!$O$48:$O$67</c:f>
              <c:strCache>
                <c:ptCount val="20"/>
                <c:pt idx="0">
                  <c:v>Jahr 1</c:v>
                </c:pt>
                <c:pt idx="1">
                  <c:v>Jahr 2</c:v>
                </c:pt>
                <c:pt idx="2">
                  <c:v>Jahr 3</c:v>
                </c:pt>
                <c:pt idx="3">
                  <c:v>Jahr 4</c:v>
                </c:pt>
                <c:pt idx="4">
                  <c:v>Jahr 5</c:v>
                </c:pt>
                <c:pt idx="5">
                  <c:v>Jahr 6</c:v>
                </c:pt>
                <c:pt idx="6">
                  <c:v>Jahr 7</c:v>
                </c:pt>
                <c:pt idx="7">
                  <c:v>Jahr 8</c:v>
                </c:pt>
                <c:pt idx="8">
                  <c:v>Jahr 9</c:v>
                </c:pt>
                <c:pt idx="9">
                  <c:v>Jahr 10</c:v>
                </c:pt>
                <c:pt idx="10">
                  <c:v>Jahr 11</c:v>
                </c:pt>
                <c:pt idx="11">
                  <c:v>Jahr 12</c:v>
                </c:pt>
                <c:pt idx="12">
                  <c:v>Jahr 13</c:v>
                </c:pt>
                <c:pt idx="13">
                  <c:v>Jahr 14</c:v>
                </c:pt>
                <c:pt idx="14">
                  <c:v>Jahr 15</c:v>
                </c:pt>
                <c:pt idx="15">
                  <c:v>Jahr 16</c:v>
                </c:pt>
                <c:pt idx="16">
                  <c:v>Jahr 17</c:v>
                </c:pt>
                <c:pt idx="17">
                  <c:v>Jahr 18</c:v>
                </c:pt>
                <c:pt idx="18">
                  <c:v>Jahr 19</c:v>
                </c:pt>
                <c:pt idx="19">
                  <c:v>Jahr 20</c:v>
                </c:pt>
              </c:strCache>
            </c:strRef>
          </c:cat>
          <c:val>
            <c:numRef>
              <c:f>'Rechnungen '!$B$48:$B$67</c:f>
              <c:numCache>
                <c:formatCode>_-* #,##0.000\ "€"_-;\-* #,##0.000\ "€"_-;_-* "-"???\ "€"_-;_-@</c:formatCode>
                <c:ptCount val="20"/>
                <c:pt idx="0">
                  <c:v>1542.9773863636362</c:v>
                </c:pt>
                <c:pt idx="1">
                  <c:v>1574.623980681818</c:v>
                </c:pt>
                <c:pt idx="2">
                  <c:v>1607.2199728295454</c:v>
                </c:pt>
                <c:pt idx="3">
                  <c:v>1640.7938447417046</c:v>
                </c:pt>
                <c:pt idx="4">
                  <c:v>1675.3749328112283</c:v>
                </c:pt>
                <c:pt idx="5">
                  <c:v>1710.9934535228379</c:v>
                </c:pt>
                <c:pt idx="6">
                  <c:v>1747.6805298557956</c:v>
                </c:pt>
                <c:pt idx="7">
                  <c:v>1785.4682184787423</c:v>
                </c:pt>
                <c:pt idx="8">
                  <c:v>1824.3895377603772</c:v>
                </c:pt>
                <c:pt idx="9">
                  <c:v>1864.4784966204616</c:v>
                </c:pt>
                <c:pt idx="10">
                  <c:v>1905.7701242463479</c:v>
                </c:pt>
                <c:pt idx="11">
                  <c:v>1948.3005007010111</c:v>
                </c:pt>
                <c:pt idx="12">
                  <c:v>1992.1067884493139</c:v>
                </c:pt>
                <c:pt idx="13">
                  <c:v>2037.2272648300661</c:v>
                </c:pt>
                <c:pt idx="14">
                  <c:v>2083.7013555022409</c:v>
                </c:pt>
                <c:pt idx="15">
                  <c:v>2131.5696688945809</c:v>
                </c:pt>
                <c:pt idx="16">
                  <c:v>2180.8740316886906</c:v>
                </c:pt>
                <c:pt idx="17">
                  <c:v>2231.6575253666242</c:v>
                </c:pt>
                <c:pt idx="18">
                  <c:v>2283.9645238548956</c:v>
                </c:pt>
                <c:pt idx="19">
                  <c:v>2337.8407322978151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36-47E1-A584-DAF75E7004C3}"/>
            </c:ext>
          </c:extLst>
        </c:ser>
        <c:ser>
          <c:idx val="1"/>
          <c:order val="1"/>
          <c:tx>
            <c:v>Wartung</c:v>
          </c:tx>
          <c:spPr>
            <a:solidFill>
              <a:srgbClr val="00D05E"/>
            </a:solidFill>
            <a:ln>
              <a:noFill/>
            </a:ln>
            <a:effectLst/>
          </c:spPr>
          <c:invertIfNegative val="0"/>
          <c:cat>
            <c:strRef>
              <c:f>'Rechnungen '!$O$48:$O$67</c:f>
              <c:strCache>
                <c:ptCount val="20"/>
                <c:pt idx="0">
                  <c:v>Jahr 1</c:v>
                </c:pt>
                <c:pt idx="1">
                  <c:v>Jahr 2</c:v>
                </c:pt>
                <c:pt idx="2">
                  <c:v>Jahr 3</c:v>
                </c:pt>
                <c:pt idx="3">
                  <c:v>Jahr 4</c:v>
                </c:pt>
                <c:pt idx="4">
                  <c:v>Jahr 5</c:v>
                </c:pt>
                <c:pt idx="5">
                  <c:v>Jahr 6</c:v>
                </c:pt>
                <c:pt idx="6">
                  <c:v>Jahr 7</c:v>
                </c:pt>
                <c:pt idx="7">
                  <c:v>Jahr 8</c:v>
                </c:pt>
                <c:pt idx="8">
                  <c:v>Jahr 9</c:v>
                </c:pt>
                <c:pt idx="9">
                  <c:v>Jahr 10</c:v>
                </c:pt>
                <c:pt idx="10">
                  <c:v>Jahr 11</c:v>
                </c:pt>
                <c:pt idx="11">
                  <c:v>Jahr 12</c:v>
                </c:pt>
                <c:pt idx="12">
                  <c:v>Jahr 13</c:v>
                </c:pt>
                <c:pt idx="13">
                  <c:v>Jahr 14</c:v>
                </c:pt>
                <c:pt idx="14">
                  <c:v>Jahr 15</c:v>
                </c:pt>
                <c:pt idx="15">
                  <c:v>Jahr 16</c:v>
                </c:pt>
                <c:pt idx="16">
                  <c:v>Jahr 17</c:v>
                </c:pt>
                <c:pt idx="17">
                  <c:v>Jahr 18</c:v>
                </c:pt>
                <c:pt idx="18">
                  <c:v>Jahr 19</c:v>
                </c:pt>
                <c:pt idx="19">
                  <c:v>Jahr 20</c:v>
                </c:pt>
              </c:strCache>
            </c:strRef>
          </c:cat>
          <c:val>
            <c:numRef>
              <c:f>'Rechnungen '!$C$48:$C$67</c:f>
              <c:numCache>
                <c:formatCode>_-* #,##0.00\ "€"_-;\-* #,##0.00\ "€"_-;_-* "-"???\ "€"_-;_-@</c:formatCode>
                <c:ptCount val="20"/>
                <c:pt idx="0" formatCode="_-* #,##0.00\ &quot;€&quot;_-;\-* #,##0.00\ &quot;€&quot;_-;_-* &quot;-&quot;??\ &quot;€&quot;_-;_-@">
                  <c:v>714</c:v>
                </c:pt>
                <c:pt idx="1">
                  <c:v>735.42000000000007</c:v>
                </c:pt>
                <c:pt idx="2">
                  <c:v>757.48260000000005</c:v>
                </c:pt>
                <c:pt idx="3">
                  <c:v>780.20707800000002</c:v>
                </c:pt>
                <c:pt idx="4">
                  <c:v>803.61329034000005</c:v>
                </c:pt>
                <c:pt idx="5">
                  <c:v>827.7216890502001</c:v>
                </c:pt>
                <c:pt idx="6">
                  <c:v>852.55333972170615</c:v>
                </c:pt>
                <c:pt idx="7">
                  <c:v>878.12993991335736</c:v>
                </c:pt>
                <c:pt idx="8">
                  <c:v>904.47383811075815</c:v>
                </c:pt>
                <c:pt idx="9">
                  <c:v>931.60805325408091</c:v>
                </c:pt>
                <c:pt idx="10">
                  <c:v>959.55629485170334</c:v>
                </c:pt>
                <c:pt idx="11">
                  <c:v>988.34298369725445</c:v>
                </c:pt>
                <c:pt idx="12">
                  <c:v>1017.9932732081721</c:v>
                </c:pt>
                <c:pt idx="13">
                  <c:v>1048.5330714044173</c:v>
                </c:pt>
                <c:pt idx="14">
                  <c:v>1079.9890635465499</c:v>
                </c:pt>
                <c:pt idx="15">
                  <c:v>1112.3887354529465</c:v>
                </c:pt>
                <c:pt idx="16">
                  <c:v>1145.760397516535</c:v>
                </c:pt>
                <c:pt idx="17">
                  <c:v>1180.1332094420311</c:v>
                </c:pt>
                <c:pt idx="18">
                  <c:v>1215.5372057252921</c:v>
                </c:pt>
                <c:pt idx="19">
                  <c:v>1252.0033218970509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36-47E1-A584-DAF75E7004C3}"/>
            </c:ext>
          </c:extLst>
        </c:ser>
        <c:ser>
          <c:idx val="2"/>
          <c:order val="2"/>
          <c:tx>
            <c:v>Abschreibung</c:v>
          </c:tx>
          <c:spPr>
            <a:solidFill>
              <a:srgbClr val="19FF81"/>
            </a:solidFill>
            <a:ln>
              <a:noFill/>
            </a:ln>
            <a:effectLst/>
          </c:spPr>
          <c:invertIfNegative val="0"/>
          <c:cat>
            <c:strRef>
              <c:f>'Rechnungen '!$O$48:$O$67</c:f>
              <c:strCache>
                <c:ptCount val="20"/>
                <c:pt idx="0">
                  <c:v>Jahr 1</c:v>
                </c:pt>
                <c:pt idx="1">
                  <c:v>Jahr 2</c:v>
                </c:pt>
                <c:pt idx="2">
                  <c:v>Jahr 3</c:v>
                </c:pt>
                <c:pt idx="3">
                  <c:v>Jahr 4</c:v>
                </c:pt>
                <c:pt idx="4">
                  <c:v>Jahr 5</c:v>
                </c:pt>
                <c:pt idx="5">
                  <c:v>Jahr 6</c:v>
                </c:pt>
                <c:pt idx="6">
                  <c:v>Jahr 7</c:v>
                </c:pt>
                <c:pt idx="7">
                  <c:v>Jahr 8</c:v>
                </c:pt>
                <c:pt idx="8">
                  <c:v>Jahr 9</c:v>
                </c:pt>
                <c:pt idx="9">
                  <c:v>Jahr 10</c:v>
                </c:pt>
                <c:pt idx="10">
                  <c:v>Jahr 11</c:v>
                </c:pt>
                <c:pt idx="11">
                  <c:v>Jahr 12</c:v>
                </c:pt>
                <c:pt idx="12">
                  <c:v>Jahr 13</c:v>
                </c:pt>
                <c:pt idx="13">
                  <c:v>Jahr 14</c:v>
                </c:pt>
                <c:pt idx="14">
                  <c:v>Jahr 15</c:v>
                </c:pt>
                <c:pt idx="15">
                  <c:v>Jahr 16</c:v>
                </c:pt>
                <c:pt idx="16">
                  <c:v>Jahr 17</c:v>
                </c:pt>
                <c:pt idx="17">
                  <c:v>Jahr 18</c:v>
                </c:pt>
                <c:pt idx="18">
                  <c:v>Jahr 19</c:v>
                </c:pt>
                <c:pt idx="19">
                  <c:v>Jahr 20</c:v>
                </c:pt>
              </c:strCache>
            </c:strRef>
          </c:cat>
          <c:val>
            <c:numRef>
              <c:f>'Rechnungen '!$D$48:$D$67</c:f>
              <c:numCache>
                <c:formatCode>_-* #,##0.000\ "€"_-;\-* #,##0.000\ "€"_-;_-* "-"???\ "€"_-;_-@</c:formatCode>
                <c:ptCount val="20"/>
                <c:pt idx="0" formatCode="_-* #,##0.00\ &quot;€&quot;_-;\-* #,##0.00\ &quot;€&quot;_-;_-* &quot;-&quot;??\ &quot;€&quot;_-;_-@">
                  <c:v>678.84375</c:v>
                </c:pt>
                <c:pt idx="1">
                  <c:v>678.84375</c:v>
                </c:pt>
                <c:pt idx="2">
                  <c:v>678.84375</c:v>
                </c:pt>
                <c:pt idx="3">
                  <c:v>678.84375</c:v>
                </c:pt>
                <c:pt idx="4">
                  <c:v>678.84375</c:v>
                </c:pt>
                <c:pt idx="5">
                  <c:v>678.84375</c:v>
                </c:pt>
                <c:pt idx="6">
                  <c:v>678.84375</c:v>
                </c:pt>
                <c:pt idx="7">
                  <c:v>678.84375</c:v>
                </c:pt>
                <c:pt idx="8">
                  <c:v>678.84375</c:v>
                </c:pt>
                <c:pt idx="9">
                  <c:v>678.84375</c:v>
                </c:pt>
                <c:pt idx="10">
                  <c:v>678.84375</c:v>
                </c:pt>
                <c:pt idx="11">
                  <c:v>678.84375</c:v>
                </c:pt>
                <c:pt idx="12">
                  <c:v>678.84375</c:v>
                </c:pt>
                <c:pt idx="13">
                  <c:v>678.84375</c:v>
                </c:pt>
                <c:pt idx="14">
                  <c:v>678.84375</c:v>
                </c:pt>
                <c:pt idx="15">
                  <c:v>678.84375</c:v>
                </c:pt>
                <c:pt idx="16">
                  <c:v>678.84375</c:v>
                </c:pt>
                <c:pt idx="17">
                  <c:v>678.84375</c:v>
                </c:pt>
                <c:pt idx="18">
                  <c:v>678.84375</c:v>
                </c:pt>
                <c:pt idx="19">
                  <c:v>678.84375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36-47E1-A584-DAF75E700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1832671136"/>
        <c:axId val="-1833505056"/>
      </c:barChart>
      <c:catAx>
        <c:axId val="-183267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833505056"/>
        <c:crosses val="autoZero"/>
        <c:auto val="1"/>
        <c:lblAlgn val="ctr"/>
        <c:lblOffset val="100"/>
        <c:noMultiLvlLbl val="0"/>
      </c:catAx>
      <c:valAx>
        <c:axId val="-1833505056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Kosten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_-* #,##0.000\ &quot;€&quot;_-;\-* #,##0.000\ &quot;€&quot;_-;_-* &quot;-&quot;???\ &quot;€&quot;_-;_-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83267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Wärmepumpe - </a:t>
            </a:r>
            <a:r>
              <a:rPr lang="de-DE" sz="1400" b="0" i="0" u="none" strike="noStrike" baseline="0">
                <a:effectLst/>
              </a:rPr>
              <a:t>Kostenentwicklung über 20 Jahre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Energie</c:v>
          </c:tx>
          <c:spPr>
            <a:solidFill>
              <a:srgbClr val="679E2A"/>
            </a:solidFill>
            <a:ln>
              <a:noFill/>
            </a:ln>
            <a:effectLst/>
          </c:spPr>
          <c:invertIfNegative val="0"/>
          <c:cat>
            <c:strRef>
              <c:f>'Rechnungen '!$O$48:$O$67</c:f>
              <c:strCache>
                <c:ptCount val="20"/>
                <c:pt idx="0">
                  <c:v>Jahr 1</c:v>
                </c:pt>
                <c:pt idx="1">
                  <c:v>Jahr 2</c:v>
                </c:pt>
                <c:pt idx="2">
                  <c:v>Jahr 3</c:v>
                </c:pt>
                <c:pt idx="3">
                  <c:v>Jahr 4</c:v>
                </c:pt>
                <c:pt idx="4">
                  <c:v>Jahr 5</c:v>
                </c:pt>
                <c:pt idx="5">
                  <c:v>Jahr 6</c:v>
                </c:pt>
                <c:pt idx="6">
                  <c:v>Jahr 7</c:v>
                </c:pt>
                <c:pt idx="7">
                  <c:v>Jahr 8</c:v>
                </c:pt>
                <c:pt idx="8">
                  <c:v>Jahr 9</c:v>
                </c:pt>
                <c:pt idx="9">
                  <c:v>Jahr 10</c:v>
                </c:pt>
                <c:pt idx="10">
                  <c:v>Jahr 11</c:v>
                </c:pt>
                <c:pt idx="11">
                  <c:v>Jahr 12</c:v>
                </c:pt>
                <c:pt idx="12">
                  <c:v>Jahr 13</c:v>
                </c:pt>
                <c:pt idx="13">
                  <c:v>Jahr 14</c:v>
                </c:pt>
                <c:pt idx="14">
                  <c:v>Jahr 15</c:v>
                </c:pt>
                <c:pt idx="15">
                  <c:v>Jahr 16</c:v>
                </c:pt>
                <c:pt idx="16">
                  <c:v>Jahr 17</c:v>
                </c:pt>
                <c:pt idx="17">
                  <c:v>Jahr 18</c:v>
                </c:pt>
                <c:pt idx="18">
                  <c:v>Jahr 19</c:v>
                </c:pt>
                <c:pt idx="19">
                  <c:v>Jahr 20</c:v>
                </c:pt>
              </c:strCache>
            </c:strRef>
          </c:cat>
          <c:val>
            <c:numRef>
              <c:f>'Rechnungen '!$F$48:$F$67</c:f>
              <c:numCache>
                <c:formatCode>_-* #,##0.000\ "€"_-;\-* #,##0.000\ "€"_-;_-* "-"???\ "€"_-;_-@</c:formatCode>
                <c:ptCount val="20"/>
                <c:pt idx="0">
                  <c:v>1713.0647368421053</c:v>
                </c:pt>
                <c:pt idx="1">
                  <c:v>1748.1998368421052</c:v>
                </c:pt>
                <c:pt idx="2">
                  <c:v>1784.3889898421055</c:v>
                </c:pt>
                <c:pt idx="3">
                  <c:v>1821.6638174321054</c:v>
                </c:pt>
                <c:pt idx="4">
                  <c:v>1860.0568898498054</c:v>
                </c:pt>
                <c:pt idx="5">
                  <c:v>1899.6017544400363</c:v>
                </c:pt>
                <c:pt idx="6">
                  <c:v>1940.332964967974</c:v>
                </c:pt>
                <c:pt idx="7">
                  <c:v>1982.2861118117503</c:v>
                </c:pt>
                <c:pt idx="8">
                  <c:v>2025.4978530608396</c:v>
                </c:pt>
                <c:pt idx="9">
                  <c:v>2070.0059465474019</c:v>
                </c:pt>
                <c:pt idx="10">
                  <c:v>2115.8492828385606</c:v>
                </c:pt>
                <c:pt idx="11">
                  <c:v>2163.0679192184543</c:v>
                </c:pt>
                <c:pt idx="12">
                  <c:v>2211.7031146897443</c:v>
                </c:pt>
                <c:pt idx="13">
                  <c:v>2261.7973660251737</c:v>
                </c:pt>
                <c:pt idx="14">
                  <c:v>2313.3944449006658</c:v>
                </c:pt>
                <c:pt idx="15">
                  <c:v>2366.5394361424223</c:v>
                </c:pt>
                <c:pt idx="16">
                  <c:v>2421.2787771214321</c:v>
                </c:pt>
                <c:pt idx="17">
                  <c:v>2477.6602983298117</c:v>
                </c:pt>
                <c:pt idx="18">
                  <c:v>2535.7332651744427</c:v>
                </c:pt>
                <c:pt idx="19">
                  <c:v>2595.5484210244126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8F-4151-A248-D24416217FCB}"/>
            </c:ext>
          </c:extLst>
        </c:ser>
        <c:ser>
          <c:idx val="1"/>
          <c:order val="1"/>
          <c:tx>
            <c:v>Wartung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'Rechnungen '!$O$48:$O$67</c:f>
              <c:strCache>
                <c:ptCount val="20"/>
                <c:pt idx="0">
                  <c:v>Jahr 1</c:v>
                </c:pt>
                <c:pt idx="1">
                  <c:v>Jahr 2</c:v>
                </c:pt>
                <c:pt idx="2">
                  <c:v>Jahr 3</c:v>
                </c:pt>
                <c:pt idx="3">
                  <c:v>Jahr 4</c:v>
                </c:pt>
                <c:pt idx="4">
                  <c:v>Jahr 5</c:v>
                </c:pt>
                <c:pt idx="5">
                  <c:v>Jahr 6</c:v>
                </c:pt>
                <c:pt idx="6">
                  <c:v>Jahr 7</c:v>
                </c:pt>
                <c:pt idx="7">
                  <c:v>Jahr 8</c:v>
                </c:pt>
                <c:pt idx="8">
                  <c:v>Jahr 9</c:v>
                </c:pt>
                <c:pt idx="9">
                  <c:v>Jahr 10</c:v>
                </c:pt>
                <c:pt idx="10">
                  <c:v>Jahr 11</c:v>
                </c:pt>
                <c:pt idx="11">
                  <c:v>Jahr 12</c:v>
                </c:pt>
                <c:pt idx="12">
                  <c:v>Jahr 13</c:v>
                </c:pt>
                <c:pt idx="13">
                  <c:v>Jahr 14</c:v>
                </c:pt>
                <c:pt idx="14">
                  <c:v>Jahr 15</c:v>
                </c:pt>
                <c:pt idx="15">
                  <c:v>Jahr 16</c:v>
                </c:pt>
                <c:pt idx="16">
                  <c:v>Jahr 17</c:v>
                </c:pt>
                <c:pt idx="17">
                  <c:v>Jahr 18</c:v>
                </c:pt>
                <c:pt idx="18">
                  <c:v>Jahr 19</c:v>
                </c:pt>
                <c:pt idx="19">
                  <c:v>Jahr 20</c:v>
                </c:pt>
              </c:strCache>
            </c:strRef>
          </c:cat>
          <c:val>
            <c:numRef>
              <c:f>'Rechnungen '!$G$48:$G$67</c:f>
              <c:numCache>
                <c:formatCode>_-* #,##0.00\ "€"_-;\-* #,##0.00\ "€"_-;_-* "-"???\ "€"_-;_-@</c:formatCode>
                <c:ptCount val="20"/>
                <c:pt idx="0" formatCode="_-* #,##0.00\ &quot;€&quot;_-;\-* #,##0.00\ &quot;€&quot;_-;_-* &quot;-&quot;??\ &quot;€&quot;_-;_-@">
                  <c:v>100</c:v>
                </c:pt>
                <c:pt idx="1">
                  <c:v>103</c:v>
                </c:pt>
                <c:pt idx="2">
                  <c:v>106.09</c:v>
                </c:pt>
                <c:pt idx="3">
                  <c:v>109.2727</c:v>
                </c:pt>
                <c:pt idx="4">
                  <c:v>112.550881</c:v>
                </c:pt>
                <c:pt idx="5">
                  <c:v>115.92740743</c:v>
                </c:pt>
                <c:pt idx="6">
                  <c:v>119.4052296529</c:v>
                </c:pt>
                <c:pt idx="7">
                  <c:v>122.987386542487</c:v>
                </c:pt>
                <c:pt idx="8">
                  <c:v>126.67700813876162</c:v>
                </c:pt>
                <c:pt idx="9">
                  <c:v>130.47731838292447</c:v>
                </c:pt>
                <c:pt idx="10">
                  <c:v>134.39163793441222</c:v>
                </c:pt>
                <c:pt idx="11">
                  <c:v>138.4233870724446</c:v>
                </c:pt>
                <c:pt idx="12">
                  <c:v>142.57608868461793</c:v>
                </c:pt>
                <c:pt idx="13">
                  <c:v>146.85337134515646</c:v>
                </c:pt>
                <c:pt idx="14">
                  <c:v>151.25897248551115</c:v>
                </c:pt>
                <c:pt idx="15">
                  <c:v>155.79674166007649</c:v>
                </c:pt>
                <c:pt idx="16">
                  <c:v>160.47064390987879</c:v>
                </c:pt>
                <c:pt idx="17">
                  <c:v>165.28476322717515</c:v>
                </c:pt>
                <c:pt idx="18">
                  <c:v>170.24330612399041</c:v>
                </c:pt>
                <c:pt idx="19">
                  <c:v>175.35060530771011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8F-4151-A248-D24416217FCB}"/>
            </c:ext>
          </c:extLst>
        </c:ser>
        <c:ser>
          <c:idx val="2"/>
          <c:order val="2"/>
          <c:tx>
            <c:v>Abschreibung</c:v>
          </c:tx>
          <c:spPr>
            <a:solidFill>
              <a:srgbClr val="C9E7A7"/>
            </a:solidFill>
            <a:ln>
              <a:noFill/>
            </a:ln>
            <a:effectLst/>
          </c:spPr>
          <c:invertIfNegative val="0"/>
          <c:cat>
            <c:strRef>
              <c:f>'Rechnungen '!$O$48:$O$67</c:f>
              <c:strCache>
                <c:ptCount val="20"/>
                <c:pt idx="0">
                  <c:v>Jahr 1</c:v>
                </c:pt>
                <c:pt idx="1">
                  <c:v>Jahr 2</c:v>
                </c:pt>
                <c:pt idx="2">
                  <c:v>Jahr 3</c:v>
                </c:pt>
                <c:pt idx="3">
                  <c:v>Jahr 4</c:v>
                </c:pt>
                <c:pt idx="4">
                  <c:v>Jahr 5</c:v>
                </c:pt>
                <c:pt idx="5">
                  <c:v>Jahr 6</c:v>
                </c:pt>
                <c:pt idx="6">
                  <c:v>Jahr 7</c:v>
                </c:pt>
                <c:pt idx="7">
                  <c:v>Jahr 8</c:v>
                </c:pt>
                <c:pt idx="8">
                  <c:v>Jahr 9</c:v>
                </c:pt>
                <c:pt idx="9">
                  <c:v>Jahr 10</c:v>
                </c:pt>
                <c:pt idx="10">
                  <c:v>Jahr 11</c:v>
                </c:pt>
                <c:pt idx="11">
                  <c:v>Jahr 12</c:v>
                </c:pt>
                <c:pt idx="12">
                  <c:v>Jahr 13</c:v>
                </c:pt>
                <c:pt idx="13">
                  <c:v>Jahr 14</c:v>
                </c:pt>
                <c:pt idx="14">
                  <c:v>Jahr 15</c:v>
                </c:pt>
                <c:pt idx="15">
                  <c:v>Jahr 16</c:v>
                </c:pt>
                <c:pt idx="16">
                  <c:v>Jahr 17</c:v>
                </c:pt>
                <c:pt idx="17">
                  <c:v>Jahr 18</c:v>
                </c:pt>
                <c:pt idx="18">
                  <c:v>Jahr 19</c:v>
                </c:pt>
                <c:pt idx="19">
                  <c:v>Jahr 20</c:v>
                </c:pt>
              </c:strCache>
            </c:strRef>
          </c:cat>
          <c:val>
            <c:numRef>
              <c:f>'Rechnungen '!$H$48:$H$67</c:f>
              <c:numCache>
                <c:formatCode>_-* #,##0.000\ "€"_-;\-* #,##0.000\ "€"_-;_-* "-"???\ "€"_-;_-@</c:formatCode>
                <c:ptCount val="20"/>
                <c:pt idx="0" formatCode="_-* #,##0.00\ &quot;€&quot;_-;\-* #,##0.00\ &quot;€&quot;_-;_-* &quot;-&quot;??\ &quot;€&quot;_-;_-@">
                  <c:v>1312.5</c:v>
                </c:pt>
                <c:pt idx="1">
                  <c:v>1312.5</c:v>
                </c:pt>
                <c:pt idx="2">
                  <c:v>1312.5</c:v>
                </c:pt>
                <c:pt idx="3">
                  <c:v>1312.5</c:v>
                </c:pt>
                <c:pt idx="4">
                  <c:v>1312.5</c:v>
                </c:pt>
                <c:pt idx="5">
                  <c:v>1312.5</c:v>
                </c:pt>
                <c:pt idx="6">
                  <c:v>1312.5</c:v>
                </c:pt>
                <c:pt idx="7">
                  <c:v>1312.5</c:v>
                </c:pt>
                <c:pt idx="8">
                  <c:v>1312.5</c:v>
                </c:pt>
                <c:pt idx="9">
                  <c:v>1312.5</c:v>
                </c:pt>
                <c:pt idx="10">
                  <c:v>1312.5</c:v>
                </c:pt>
                <c:pt idx="11">
                  <c:v>1312.5</c:v>
                </c:pt>
                <c:pt idx="12">
                  <c:v>1312.5</c:v>
                </c:pt>
                <c:pt idx="13">
                  <c:v>1312.5</c:v>
                </c:pt>
                <c:pt idx="14">
                  <c:v>1312.5</c:v>
                </c:pt>
                <c:pt idx="15">
                  <c:v>1312.5</c:v>
                </c:pt>
                <c:pt idx="16">
                  <c:v>1312.5</c:v>
                </c:pt>
                <c:pt idx="17">
                  <c:v>1312.5</c:v>
                </c:pt>
                <c:pt idx="18">
                  <c:v>1312.5</c:v>
                </c:pt>
                <c:pt idx="19">
                  <c:v>1312.5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78F-4151-A248-D24416217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1621271328"/>
        <c:axId val="-1621275136"/>
      </c:barChart>
      <c:catAx>
        <c:axId val="-162127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21275136"/>
        <c:crosses val="autoZero"/>
        <c:auto val="1"/>
        <c:lblAlgn val="ctr"/>
        <c:lblOffset val="100"/>
        <c:noMultiLvlLbl val="0"/>
      </c:catAx>
      <c:valAx>
        <c:axId val="-1621275136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Kosten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_-* #,##0.000\ &quot;€&quot;_-;\-* #,##0.000\ &quot;€&quot;_-;_-* &quot;-&quot;???\ &quot;€&quot;_-;_-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21271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Gasheizung - </a:t>
            </a:r>
            <a:r>
              <a:rPr lang="de-DE" sz="1400" b="0" i="0" u="none" strike="noStrike" baseline="0">
                <a:effectLst/>
              </a:rPr>
              <a:t>Kostenentwicklung über 20 Jahre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Energiekosten</c:v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'Rechnungen '!$O$48:$O$67</c:f>
              <c:strCache>
                <c:ptCount val="20"/>
                <c:pt idx="0">
                  <c:v>Jahr 1</c:v>
                </c:pt>
                <c:pt idx="1">
                  <c:v>Jahr 2</c:v>
                </c:pt>
                <c:pt idx="2">
                  <c:v>Jahr 3</c:v>
                </c:pt>
                <c:pt idx="3">
                  <c:v>Jahr 4</c:v>
                </c:pt>
                <c:pt idx="4">
                  <c:v>Jahr 5</c:v>
                </c:pt>
                <c:pt idx="5">
                  <c:v>Jahr 6</c:v>
                </c:pt>
                <c:pt idx="6">
                  <c:v>Jahr 7</c:v>
                </c:pt>
                <c:pt idx="7">
                  <c:v>Jahr 8</c:v>
                </c:pt>
                <c:pt idx="8">
                  <c:v>Jahr 9</c:v>
                </c:pt>
                <c:pt idx="9">
                  <c:v>Jahr 10</c:v>
                </c:pt>
                <c:pt idx="10">
                  <c:v>Jahr 11</c:v>
                </c:pt>
                <c:pt idx="11">
                  <c:v>Jahr 12</c:v>
                </c:pt>
                <c:pt idx="12">
                  <c:v>Jahr 13</c:v>
                </c:pt>
                <c:pt idx="13">
                  <c:v>Jahr 14</c:v>
                </c:pt>
                <c:pt idx="14">
                  <c:v>Jahr 15</c:v>
                </c:pt>
                <c:pt idx="15">
                  <c:v>Jahr 16</c:v>
                </c:pt>
                <c:pt idx="16">
                  <c:v>Jahr 17</c:v>
                </c:pt>
                <c:pt idx="17">
                  <c:v>Jahr 18</c:v>
                </c:pt>
                <c:pt idx="18">
                  <c:v>Jahr 19</c:v>
                </c:pt>
                <c:pt idx="19">
                  <c:v>Jahr 20</c:v>
                </c:pt>
              </c:strCache>
            </c:strRef>
          </c:cat>
          <c:val>
            <c:numRef>
              <c:f>'Rechnungen '!$J$48:$J$67</c:f>
              <c:numCache>
                <c:formatCode>_-* #,##0.000\ "€"_-;\-* #,##0.000\ "€"_-;_-* "-"???\ "€"_-;_-@</c:formatCode>
                <c:ptCount val="20"/>
                <c:pt idx="0">
                  <c:v>2476.5644736842105</c:v>
                </c:pt>
                <c:pt idx="1">
                  <c:v>2846.7493419822922</c:v>
                </c:pt>
                <c:pt idx="2">
                  <c:v>2974.2338217154452</c:v>
                </c:pt>
                <c:pt idx="3">
                  <c:v>3125.6225716300664</c:v>
                </c:pt>
                <c:pt idx="4">
                  <c:v>3215.546192989495</c:v>
                </c:pt>
                <c:pt idx="5">
                  <c:v>3308.1675229897055</c:v>
                </c:pt>
                <c:pt idx="6">
                  <c:v>3403.567492889923</c:v>
                </c:pt>
                <c:pt idx="7">
                  <c:v>3501.8294618871473</c:v>
                </c:pt>
                <c:pt idx="8">
                  <c:v>3603.0392899542881</c:v>
                </c:pt>
                <c:pt idx="9">
                  <c:v>3707.2854128634426</c:v>
                </c:pt>
                <c:pt idx="10">
                  <c:v>3814.6589194598728</c:v>
                </c:pt>
                <c:pt idx="11">
                  <c:v>3925.2536312541956</c:v>
                </c:pt>
                <c:pt idx="12">
                  <c:v>4039.1661844023465</c:v>
                </c:pt>
                <c:pt idx="13">
                  <c:v>4156.496114144943</c:v>
                </c:pt>
                <c:pt idx="14">
                  <c:v>4277.3459417798176</c:v>
                </c:pt>
                <c:pt idx="15">
                  <c:v>4401.8212642437393</c:v>
                </c:pt>
                <c:pt idx="16">
                  <c:v>4530.0308463815772</c:v>
                </c:pt>
                <c:pt idx="17">
                  <c:v>4662.0867159835507</c:v>
                </c:pt>
                <c:pt idx="18">
                  <c:v>4798.1042616735831</c:v>
                </c:pt>
                <c:pt idx="19">
                  <c:v>4938.2023337343171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B7-4D1B-8793-0CB6991EEF1E}"/>
            </c:ext>
          </c:extLst>
        </c:ser>
        <c:ser>
          <c:idx val="1"/>
          <c:order val="1"/>
          <c:tx>
            <c:v>Wartung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'Rechnungen '!$O$48:$O$67</c:f>
              <c:strCache>
                <c:ptCount val="20"/>
                <c:pt idx="0">
                  <c:v>Jahr 1</c:v>
                </c:pt>
                <c:pt idx="1">
                  <c:v>Jahr 2</c:v>
                </c:pt>
                <c:pt idx="2">
                  <c:v>Jahr 3</c:v>
                </c:pt>
                <c:pt idx="3">
                  <c:v>Jahr 4</c:v>
                </c:pt>
                <c:pt idx="4">
                  <c:v>Jahr 5</c:v>
                </c:pt>
                <c:pt idx="5">
                  <c:v>Jahr 6</c:v>
                </c:pt>
                <c:pt idx="6">
                  <c:v>Jahr 7</c:v>
                </c:pt>
                <c:pt idx="7">
                  <c:v>Jahr 8</c:v>
                </c:pt>
                <c:pt idx="8">
                  <c:v>Jahr 9</c:v>
                </c:pt>
                <c:pt idx="9">
                  <c:v>Jahr 10</c:v>
                </c:pt>
                <c:pt idx="10">
                  <c:v>Jahr 11</c:v>
                </c:pt>
                <c:pt idx="11">
                  <c:v>Jahr 12</c:v>
                </c:pt>
                <c:pt idx="12">
                  <c:v>Jahr 13</c:v>
                </c:pt>
                <c:pt idx="13">
                  <c:v>Jahr 14</c:v>
                </c:pt>
                <c:pt idx="14">
                  <c:v>Jahr 15</c:v>
                </c:pt>
                <c:pt idx="15">
                  <c:v>Jahr 16</c:v>
                </c:pt>
                <c:pt idx="16">
                  <c:v>Jahr 17</c:v>
                </c:pt>
                <c:pt idx="17">
                  <c:v>Jahr 18</c:v>
                </c:pt>
                <c:pt idx="18">
                  <c:v>Jahr 19</c:v>
                </c:pt>
                <c:pt idx="19">
                  <c:v>Jahr 20</c:v>
                </c:pt>
              </c:strCache>
            </c:strRef>
          </c:cat>
          <c:val>
            <c:numRef>
              <c:f>'Rechnungen '!$K$48:$K$67</c:f>
              <c:numCache>
                <c:formatCode>_-* #,##0.00\ "€"_-;\-* #,##0.00\ "€"_-;_-* "-"???\ "€"_-;_-@</c:formatCode>
                <c:ptCount val="20"/>
                <c:pt idx="0" formatCode="_-* #,##0.00\ &quot;€&quot;_-;\-* #,##0.00\ &quot;€&quot;_-;_-* &quot;-&quot;??\ &quot;€&quot;_-;_-@">
                  <c:v>200</c:v>
                </c:pt>
                <c:pt idx="1">
                  <c:v>206</c:v>
                </c:pt>
                <c:pt idx="2">
                  <c:v>212.18</c:v>
                </c:pt>
                <c:pt idx="3">
                  <c:v>218.5454</c:v>
                </c:pt>
                <c:pt idx="4">
                  <c:v>225.10176200000001</c:v>
                </c:pt>
                <c:pt idx="5">
                  <c:v>231.85481486</c:v>
                </c:pt>
                <c:pt idx="6">
                  <c:v>238.81045930580001</c:v>
                </c:pt>
                <c:pt idx="7">
                  <c:v>245.974773084974</c:v>
                </c:pt>
                <c:pt idx="8">
                  <c:v>253.35401627752324</c:v>
                </c:pt>
                <c:pt idx="9">
                  <c:v>260.95463676584893</c:v>
                </c:pt>
                <c:pt idx="10">
                  <c:v>268.78327586882443</c:v>
                </c:pt>
                <c:pt idx="11">
                  <c:v>276.8467741448892</c:v>
                </c:pt>
                <c:pt idx="12">
                  <c:v>285.15217736923586</c:v>
                </c:pt>
                <c:pt idx="13">
                  <c:v>293.70674269031292</c:v>
                </c:pt>
                <c:pt idx="14">
                  <c:v>302.5179449710223</c:v>
                </c:pt>
                <c:pt idx="15">
                  <c:v>311.59348332015298</c:v>
                </c:pt>
                <c:pt idx="16">
                  <c:v>320.94128781975758</c:v>
                </c:pt>
                <c:pt idx="17">
                  <c:v>330.5695264543503</c:v>
                </c:pt>
                <c:pt idx="18">
                  <c:v>340.48661224798082</c:v>
                </c:pt>
                <c:pt idx="19">
                  <c:v>350.70121061542022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EB7-4D1B-8793-0CB6991EEF1E}"/>
            </c:ext>
          </c:extLst>
        </c:ser>
        <c:ser>
          <c:idx val="2"/>
          <c:order val="2"/>
          <c:tx>
            <c:v>Abschreibung</c:v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'Rechnungen '!$O$48:$O$67</c:f>
              <c:strCache>
                <c:ptCount val="20"/>
                <c:pt idx="0">
                  <c:v>Jahr 1</c:v>
                </c:pt>
                <c:pt idx="1">
                  <c:v>Jahr 2</c:v>
                </c:pt>
                <c:pt idx="2">
                  <c:v>Jahr 3</c:v>
                </c:pt>
                <c:pt idx="3">
                  <c:v>Jahr 4</c:v>
                </c:pt>
                <c:pt idx="4">
                  <c:v>Jahr 5</c:v>
                </c:pt>
                <c:pt idx="5">
                  <c:v>Jahr 6</c:v>
                </c:pt>
                <c:pt idx="6">
                  <c:v>Jahr 7</c:v>
                </c:pt>
                <c:pt idx="7">
                  <c:v>Jahr 8</c:v>
                </c:pt>
                <c:pt idx="8">
                  <c:v>Jahr 9</c:v>
                </c:pt>
                <c:pt idx="9">
                  <c:v>Jahr 10</c:v>
                </c:pt>
                <c:pt idx="10">
                  <c:v>Jahr 11</c:v>
                </c:pt>
                <c:pt idx="11">
                  <c:v>Jahr 12</c:v>
                </c:pt>
                <c:pt idx="12">
                  <c:v>Jahr 13</c:v>
                </c:pt>
                <c:pt idx="13">
                  <c:v>Jahr 14</c:v>
                </c:pt>
                <c:pt idx="14">
                  <c:v>Jahr 15</c:v>
                </c:pt>
                <c:pt idx="15">
                  <c:v>Jahr 16</c:v>
                </c:pt>
                <c:pt idx="16">
                  <c:v>Jahr 17</c:v>
                </c:pt>
                <c:pt idx="17">
                  <c:v>Jahr 18</c:v>
                </c:pt>
                <c:pt idx="18">
                  <c:v>Jahr 19</c:v>
                </c:pt>
                <c:pt idx="19">
                  <c:v>Jahr 20</c:v>
                </c:pt>
              </c:strCache>
            </c:strRef>
          </c:cat>
          <c:val>
            <c:numRef>
              <c:f>'Rechnungen '!$L$48:$L$67</c:f>
              <c:numCache>
                <c:formatCode>_-* #,##0.00\ "€"_-;\-* #,##0.00\ "€"_-;_-* "-"??\ "€"_-;_-@</c:formatCode>
                <c:ptCount val="20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EB7-4D1B-8793-0CB6991EE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-1621269696"/>
        <c:axId val="-1621267520"/>
      </c:barChart>
      <c:catAx>
        <c:axId val="-1621269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21267520"/>
        <c:crosses val="autoZero"/>
        <c:auto val="1"/>
        <c:lblAlgn val="ctr"/>
        <c:lblOffset val="100"/>
        <c:noMultiLvlLbl val="0"/>
      </c:catAx>
      <c:valAx>
        <c:axId val="-1621267520"/>
        <c:scaling>
          <c:orientation val="minMax"/>
          <c:max val="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400"/>
                  <a:t>Kosten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_-* #,##0.000\ &quot;€&quot;_-;\-* #,##0.000\ &quot;€&quot;_-;_-* &quot;-&quot;???\ &quot;€&quot;_-;_-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2126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Gesamtkosten</a:t>
            </a:r>
            <a:r>
              <a:rPr lang="de-DE" baseline="0"/>
              <a:t> über 20 Jahre</a:t>
            </a:r>
            <a:endParaRPr lang="de-DE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2D3-4DB2-97D6-180C5BAEF02B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22D3-4DB2-97D6-180C5BAEF02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2D3-4DB2-97D6-180C5BAEF02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Kalkulator!$G$4:$G$6</c:f>
              <c:strCache>
                <c:ptCount val="3"/>
                <c:pt idx="0">
                  <c:v>Klimaanlagen</c:v>
                </c:pt>
                <c:pt idx="1">
                  <c:v>Wärmepumpe</c:v>
                </c:pt>
                <c:pt idx="2">
                  <c:v>Gasbrennwertgerät</c:v>
                </c:pt>
              </c:strCache>
            </c:strRef>
          </c:cat>
          <c:val>
            <c:numRef>
              <c:f>Kalkulator!$H$4:$H$6</c:f>
              <c:numCache>
                <c:formatCode>_-* #,##0\ "€"_-;\-* #,##0\ "€"_-;_-* "-"??\ "€"_-;_-@_-</c:formatCode>
                <c:ptCount val="3"/>
                <c:pt idx="0">
                  <c:v>70869.335254629797</c:v>
                </c:pt>
                <c:pt idx="1">
                  <c:v>71244.708675999398</c:v>
                </c:pt>
                <c:pt idx="2">
                  <c:v>91079.846693440035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2D3-4DB2-97D6-180C5BAEF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21270784"/>
        <c:axId val="-1621270240"/>
      </c:barChart>
      <c:catAx>
        <c:axId val="-162127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21270240"/>
        <c:crosses val="autoZero"/>
        <c:auto val="1"/>
        <c:lblAlgn val="ctr"/>
        <c:lblOffset val="100"/>
        <c:noMultiLvlLbl val="0"/>
      </c:catAx>
      <c:valAx>
        <c:axId val="-162127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&quot;€&quot;_-;\-* #,##0\ &quot;€&quot;_-;_-* &quot;-&quot;??\ &quot;€&quot;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21270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Energiebezug aus dem Netz pro Jahr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08-40BF-BC11-3B55530EA66D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08-40BF-BC11-3B55530EA66D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08-40BF-BC11-3B55530EA66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Kalkulator!$G$4:$G$6</c:f>
              <c:strCache>
                <c:ptCount val="3"/>
                <c:pt idx="0">
                  <c:v>Klimaanlagen</c:v>
                </c:pt>
                <c:pt idx="1">
                  <c:v>Wärmepumpe</c:v>
                </c:pt>
                <c:pt idx="2">
                  <c:v>Gasbrennwertgerät</c:v>
                </c:pt>
              </c:strCache>
            </c:strRef>
          </c:cat>
          <c:val>
            <c:numRef>
              <c:f>Kalkulator!$I$4:$I$6</c:f>
              <c:numCache>
                <c:formatCode>0\ "kWh"</c:formatCode>
                <c:ptCount val="3"/>
                <c:pt idx="0">
                  <c:v>3120.9659090909086</c:v>
                </c:pt>
                <c:pt idx="1">
                  <c:v>3465</c:v>
                </c:pt>
                <c:pt idx="2">
                  <c:v>21276.315789473687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808-40BF-BC11-3B55530EA6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21269152"/>
        <c:axId val="-1621274592"/>
      </c:barChart>
      <c:catAx>
        <c:axId val="-1621269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21274592"/>
        <c:crosses val="autoZero"/>
        <c:auto val="1"/>
        <c:lblAlgn val="ctr"/>
        <c:lblOffset val="100"/>
        <c:noMultiLvlLbl val="0"/>
      </c:catAx>
      <c:valAx>
        <c:axId val="-1621274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\ &quot;kWh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21269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CO2</a:t>
            </a:r>
            <a:r>
              <a:rPr lang="de-DE" baseline="0"/>
              <a:t>-Ausstoß </a:t>
            </a:r>
            <a:r>
              <a:rPr lang="de-DE"/>
              <a:t>pro Jahr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476-40C6-81BA-CD58869D5CC0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476-40C6-81BA-CD58869D5CC0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476-40C6-81BA-CD58869D5CC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Kalkulator!$G$4:$G$6</c:f>
              <c:strCache>
                <c:ptCount val="3"/>
                <c:pt idx="0">
                  <c:v>Klimaanlagen</c:v>
                </c:pt>
                <c:pt idx="1">
                  <c:v>Wärmepumpe</c:v>
                </c:pt>
                <c:pt idx="2">
                  <c:v>Gasbrennwertgerät</c:v>
                </c:pt>
              </c:strCache>
            </c:strRef>
          </c:cat>
          <c:val>
            <c:numRef>
              <c:f>Kalkulator!$J$4:$J$6</c:f>
              <c:numCache>
                <c:formatCode>0.0\ "t CO2"</c:formatCode>
                <c:ptCount val="3"/>
                <c:pt idx="0">
                  <c:v>1.4480186742424241</c:v>
                </c:pt>
                <c:pt idx="1">
                  <c:v>1.6076384210526315</c:v>
                </c:pt>
                <c:pt idx="2">
                  <c:v>4.2722842105263164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476-40C6-81BA-CD58869D5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1621261536"/>
        <c:axId val="-1621268608"/>
      </c:barChart>
      <c:catAx>
        <c:axId val="-162126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21268608"/>
        <c:crosses val="autoZero"/>
        <c:auto val="1"/>
        <c:lblAlgn val="ctr"/>
        <c:lblOffset val="100"/>
        <c:noMultiLvlLbl val="0"/>
      </c:catAx>
      <c:valAx>
        <c:axId val="-162126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\ &quot;t CO2&quot;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1621261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jpe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183695</xdr:colOff>
      <xdr:row>24</xdr:row>
      <xdr:rowOff>144235</xdr:rowOff>
    </xdr:from>
    <xdr:to>
      <xdr:col>12</xdr:col>
      <xdr:colOff>771525</xdr:colOff>
      <xdr:row>41</xdr:row>
      <xdr:rowOff>170087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BF0DAD20-0AD4-4395-A02A-F43ECF75DE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24493</xdr:colOff>
      <xdr:row>19</xdr:row>
      <xdr:rowOff>48135</xdr:rowOff>
    </xdr:from>
    <xdr:to>
      <xdr:col>27</xdr:col>
      <xdr:colOff>213889</xdr:colOff>
      <xdr:row>37</xdr:row>
      <xdr:rowOff>127980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5FCE877A-A964-493C-BB07-66B9FE7481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763979</xdr:colOff>
      <xdr:row>37</xdr:row>
      <xdr:rowOff>190499</xdr:rowOff>
    </xdr:from>
    <xdr:to>
      <xdr:col>27</xdr:col>
      <xdr:colOff>182757</xdr:colOff>
      <xdr:row>56</xdr:row>
      <xdr:rowOff>70772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xmlns="" id="{83179311-1F60-4DE5-B455-4F3CD03F5B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19010</xdr:colOff>
      <xdr:row>0</xdr:row>
      <xdr:rowOff>18719</xdr:rowOff>
    </xdr:from>
    <xdr:to>
      <xdr:col>27</xdr:col>
      <xdr:colOff>209766</xdr:colOff>
      <xdr:row>18</xdr:row>
      <xdr:rowOff>133942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1AB2B755-E05A-41E0-9DDF-F02798DF37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176213</xdr:colOff>
      <xdr:row>9</xdr:row>
      <xdr:rowOff>85725</xdr:rowOff>
    </xdr:from>
    <xdr:to>
      <xdr:col>6</xdr:col>
      <xdr:colOff>638175</xdr:colOff>
      <xdr:row>24</xdr:row>
      <xdr:rowOff>114300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xmlns="" id="{4FCDD6D1-CFC0-1CA1-EEF6-968B686C82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508636</xdr:colOff>
      <xdr:row>9</xdr:row>
      <xdr:rowOff>66675</xdr:rowOff>
    </xdr:from>
    <xdr:to>
      <xdr:col>12</xdr:col>
      <xdr:colOff>762000</xdr:colOff>
      <xdr:row>24</xdr:row>
      <xdr:rowOff>95250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xmlns="" id="{751C3196-9209-47EA-BDA8-CC0134A499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647699</xdr:colOff>
      <xdr:row>9</xdr:row>
      <xdr:rowOff>76200</xdr:rowOff>
    </xdr:from>
    <xdr:to>
      <xdr:col>9</xdr:col>
      <xdr:colOff>485774</xdr:colOff>
      <xdr:row>24</xdr:row>
      <xdr:rowOff>104775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xmlns="" id="{302E72D4-F4EA-4659-AC09-9A6CD284BF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11</xdr:col>
      <xdr:colOff>664029</xdr:colOff>
      <xdr:row>0</xdr:row>
      <xdr:rowOff>0</xdr:rowOff>
    </xdr:from>
    <xdr:to>
      <xdr:col>13</xdr:col>
      <xdr:colOff>48987</xdr:colOff>
      <xdr:row>7</xdr:row>
      <xdr:rowOff>42350</xdr:rowOff>
    </xdr:to>
    <xdr:pic>
      <xdr:nvPicPr>
        <xdr:cNvPr id="13" name="Picture 2" descr="Ist möglicherweise ein Bild von Text „ESF Zukunft. Heizen“">
          <a:extLst>
            <a:ext uri="{FF2B5EF4-FFF2-40B4-BE49-F238E27FC236}">
              <a16:creationId xmlns:a16="http://schemas.microsoft.com/office/drawing/2014/main" xmlns="" id="{C0518DB8-3C92-4DD4-8F6E-03CEFCC4FA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/>
            </a:ext>
          </a:extLst>
        </a:blip>
        <a:srcRect l="20584" r="14011" b="9189"/>
        <a:stretch/>
      </xdr:blipFill>
      <xdr:spPr bwMode="auto">
        <a:xfrm>
          <a:off x="16306800" y="0"/>
          <a:ext cx="1066802" cy="1560907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S5:S10" totalsRowShown="0">
  <autoFilter ref="S5:S10"/>
  <tableColumns count="1">
    <tableColumn id="1" name="Heizungstyp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le2" displayName="Tabelle2" ref="R1:R3" totalsRowShown="0">
  <autoFilter ref="R1:R3"/>
  <tableColumns count="1">
    <tableColumn id="1" name="Gerä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elle3" displayName="Tabelle3" ref="R19:S25" totalsRowShown="0" headerRowDxfId="3" dataDxfId="2">
  <autoFilter ref="R19:S25"/>
  <tableColumns count="2">
    <tableColumn id="1" name="PV-Anlage" dataDxfId="1"/>
    <tableColumn id="2" name="Autarkie der WP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0"/>
  <sheetViews>
    <sheetView tabSelected="1" zoomScale="55" zoomScaleNormal="55" workbookViewId="0">
      <selection activeCell="C13" sqref="C13"/>
    </sheetView>
  </sheetViews>
  <sheetFormatPr baseColWidth="10" defaultColWidth="14.44140625" defaultRowHeight="15" customHeight="1"/>
  <cols>
    <col min="1" max="1" width="64" customWidth="1"/>
    <col min="2" max="2" width="26.5546875" customWidth="1"/>
    <col min="3" max="3" width="20.33203125" customWidth="1"/>
    <col min="4" max="6" width="12.5546875" customWidth="1"/>
    <col min="7" max="7" width="17.77734375" customWidth="1"/>
    <col min="8" max="8" width="15.5546875" customWidth="1"/>
    <col min="9" max="9" width="20" customWidth="1"/>
    <col min="10" max="10" width="15.5546875" customWidth="1"/>
    <col min="11" max="12" width="12.5546875" customWidth="1"/>
    <col min="13" max="20" width="10.6640625" customWidth="1"/>
  </cols>
  <sheetData>
    <row r="1" spans="1:14" ht="23.4">
      <c r="A1" s="45" t="s">
        <v>90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3.4">
      <c r="A2" s="45"/>
      <c r="B2" s="43"/>
      <c r="C2" s="43"/>
      <c r="D2" s="43"/>
      <c r="E2" s="42" t="s">
        <v>148</v>
      </c>
      <c r="F2" s="43"/>
      <c r="G2" s="81"/>
      <c r="H2" s="79" t="s">
        <v>47</v>
      </c>
      <c r="I2" s="79" t="s">
        <v>159</v>
      </c>
      <c r="J2" s="79" t="s">
        <v>160</v>
      </c>
      <c r="K2" s="43"/>
      <c r="L2" s="43"/>
      <c r="M2" s="43"/>
      <c r="N2" s="43"/>
    </row>
    <row r="3" spans="1:14" ht="14.25" customHeight="1">
      <c r="A3" s="46" t="s">
        <v>56</v>
      </c>
      <c r="B3" s="43"/>
      <c r="C3" s="43"/>
      <c r="D3" s="43"/>
      <c r="E3" s="41" t="s">
        <v>149</v>
      </c>
      <c r="F3" s="43"/>
      <c r="G3" s="82"/>
      <c r="H3" s="80"/>
      <c r="I3" s="80"/>
      <c r="J3" s="80"/>
      <c r="K3" s="43"/>
      <c r="L3" s="43"/>
      <c r="M3" s="43"/>
      <c r="N3" s="43"/>
    </row>
    <row r="4" spans="1:14" ht="15.6">
      <c r="B4" s="43"/>
      <c r="C4" s="43"/>
      <c r="D4" s="43"/>
      <c r="E4" s="43"/>
      <c r="F4" s="43"/>
      <c r="G4" s="36" t="s">
        <v>9</v>
      </c>
      <c r="H4" s="38">
        <f>'Rechnungen '!E68</f>
        <v>70869.335254629797</v>
      </c>
      <c r="I4" s="40">
        <f>'Rechnungen '!B17</f>
        <v>3120.9659090909086</v>
      </c>
      <c r="J4" s="39">
        <f>'Rechnungen '!B19</f>
        <v>1.4480186742424241</v>
      </c>
      <c r="K4" s="43"/>
      <c r="L4" s="43"/>
      <c r="M4" s="43"/>
      <c r="N4" s="43"/>
    </row>
    <row r="5" spans="1:14" ht="14.4" customHeight="1">
      <c r="A5" s="83" t="s">
        <v>167</v>
      </c>
      <c r="B5" s="85" t="s">
        <v>162</v>
      </c>
      <c r="C5" s="86"/>
      <c r="D5" s="43"/>
      <c r="E5" s="43"/>
      <c r="F5" s="43"/>
      <c r="G5" s="36" t="s">
        <v>102</v>
      </c>
      <c r="H5" s="38">
        <f>'Rechnungen '!I68</f>
        <v>71244.708675999398</v>
      </c>
      <c r="I5" s="40">
        <f>'Rechnungen '!C17</f>
        <v>3465</v>
      </c>
      <c r="J5" s="39">
        <f>'Rechnungen '!C19</f>
        <v>1.6076384210526315</v>
      </c>
      <c r="K5" s="43"/>
      <c r="L5" s="43"/>
      <c r="M5" s="43"/>
      <c r="N5" s="43"/>
    </row>
    <row r="6" spans="1:14" ht="14.4" customHeight="1">
      <c r="A6" s="84"/>
      <c r="B6" s="87"/>
      <c r="C6" s="88"/>
      <c r="D6" s="43"/>
      <c r="E6" s="43"/>
      <c r="F6" s="43"/>
      <c r="G6" s="36" t="s">
        <v>150</v>
      </c>
      <c r="H6" s="38">
        <f>'Rechnungen '!M68</f>
        <v>91079.846693440035</v>
      </c>
      <c r="I6" s="40">
        <f>'Rechnungen '!D17</f>
        <v>21276.315789473687</v>
      </c>
      <c r="J6" s="39">
        <f>'Rechnungen '!D19</f>
        <v>4.2722842105263164</v>
      </c>
      <c r="K6" s="43"/>
      <c r="L6" s="43"/>
      <c r="M6" s="43"/>
      <c r="N6" s="43"/>
    </row>
    <row r="7" spans="1:14" ht="14.4">
      <c r="A7" s="12" t="s">
        <v>49</v>
      </c>
      <c r="B7" s="51">
        <v>2500</v>
      </c>
      <c r="C7" s="52" t="str">
        <f>IF(B5='Rechnungen '!S6,"m³ Gas",IF(B5='Rechnungen '!S7,"m³ Gas",IF(B5='Rechnungen '!S8,"Liter Heizöl",IF(B5='Rechnungen '!S9,"Liter Heizöl",IF(B5='Rechnungen '!S10,"kWh",0)))))</f>
        <v>m³ Gas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</row>
    <row r="8" spans="1:14" ht="14.25" customHeight="1">
      <c r="A8" s="13" t="s">
        <v>51</v>
      </c>
      <c r="B8" s="53">
        <v>150</v>
      </c>
      <c r="C8" s="54" t="s">
        <v>5</v>
      </c>
      <c r="D8" s="43"/>
      <c r="E8" s="43"/>
      <c r="F8" s="43"/>
      <c r="G8" s="43"/>
      <c r="H8" s="43"/>
      <c r="I8" s="43"/>
      <c r="J8" s="43"/>
      <c r="K8" s="43"/>
      <c r="L8" s="43"/>
      <c r="M8" s="44" t="s">
        <v>156</v>
      </c>
      <c r="N8" s="43"/>
    </row>
    <row r="9" spans="1:14" ht="14.25" customHeight="1">
      <c r="A9" s="15" t="s">
        <v>50</v>
      </c>
      <c r="B9" s="53">
        <v>4</v>
      </c>
      <c r="C9" s="54"/>
      <c r="D9" s="43"/>
      <c r="E9" s="43"/>
      <c r="F9" s="43"/>
      <c r="G9" s="43"/>
      <c r="H9" s="43"/>
      <c r="I9" s="43"/>
      <c r="J9" s="43"/>
      <c r="K9" s="43"/>
      <c r="L9" s="43"/>
      <c r="M9" s="49">
        <v>44955</v>
      </c>
      <c r="N9" s="43"/>
    </row>
    <row r="10" spans="1:14" ht="14.25" customHeight="1">
      <c r="A10" s="15" t="s">
        <v>69</v>
      </c>
      <c r="B10" s="55">
        <v>0.33800000000000002</v>
      </c>
      <c r="C10" s="56" t="s">
        <v>71</v>
      </c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14.25" customHeight="1">
      <c r="A11" s="15" t="s">
        <v>70</v>
      </c>
      <c r="B11" s="55">
        <v>0.11169999999999999</v>
      </c>
      <c r="C11" s="56" t="s">
        <v>71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4" ht="14.25" customHeight="1">
      <c r="A12" s="15" t="s">
        <v>79</v>
      </c>
      <c r="B12" s="57">
        <v>100</v>
      </c>
      <c r="C12" s="56" t="s">
        <v>80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4" ht="14.25" customHeight="1">
      <c r="A13" s="37" t="s">
        <v>22</v>
      </c>
      <c r="B13" s="58">
        <v>0.03</v>
      </c>
      <c r="C13" s="59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</row>
    <row r="14" spans="1:14" ht="14.25" customHeight="1">
      <c r="A14" s="48"/>
      <c r="B14" s="60"/>
      <c r="C14" s="61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</row>
    <row r="15" spans="1:14" ht="14.25" customHeight="1">
      <c r="A15" s="46" t="s">
        <v>72</v>
      </c>
      <c r="B15" s="50"/>
      <c r="C15" s="50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</row>
    <row r="16" spans="1:14" ht="14.25" customHeight="1">
      <c r="A16" s="43"/>
      <c r="B16" s="60"/>
      <c r="C16" s="61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</row>
    <row r="17" spans="1:14" ht="14.1" customHeight="1">
      <c r="A17" s="15" t="s">
        <v>1</v>
      </c>
      <c r="B17" s="76">
        <v>2000</v>
      </c>
      <c r="C17" s="75" t="s">
        <v>2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</row>
    <row r="18" spans="1:14" ht="14.25" customHeight="1">
      <c r="A18" s="15" t="s">
        <v>74</v>
      </c>
      <c r="B18" s="62">
        <v>3.5</v>
      </c>
      <c r="C18" s="56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</row>
    <row r="19" spans="1:14" ht="14.25" customHeight="1">
      <c r="A19" s="15" t="s">
        <v>75</v>
      </c>
      <c r="B19" s="62">
        <v>4</v>
      </c>
      <c r="C19" s="56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</row>
    <row r="20" spans="1:14" ht="14.25" customHeight="1">
      <c r="A20" s="15" t="s">
        <v>86</v>
      </c>
      <c r="B20" s="63">
        <v>10000</v>
      </c>
      <c r="C20" s="56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4.25" customHeight="1">
      <c r="A21" s="15" t="s">
        <v>157</v>
      </c>
      <c r="B21" s="63">
        <v>35000</v>
      </c>
      <c r="C21" s="56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</row>
    <row r="22" spans="1:14" ht="14.25" customHeight="1">
      <c r="A22" s="15" t="s">
        <v>91</v>
      </c>
      <c r="B22" s="74">
        <f>B21*0.75</f>
        <v>26250</v>
      </c>
      <c r="C22" s="56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14.25" customHeight="1">
      <c r="A23" s="15" t="s">
        <v>87</v>
      </c>
      <c r="B23" s="63">
        <v>1100</v>
      </c>
      <c r="C23" s="56" t="s">
        <v>88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</row>
    <row r="24" spans="1:14" ht="14.25" customHeight="1">
      <c r="A24" s="15" t="s">
        <v>89</v>
      </c>
      <c r="B24" s="63">
        <v>4000</v>
      </c>
      <c r="C24" s="56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</row>
    <row r="25" spans="1:14" ht="14.25" customHeight="1">
      <c r="A25" s="15" t="s">
        <v>158</v>
      </c>
      <c r="B25" s="64">
        <v>200</v>
      </c>
      <c r="C25" s="56" t="s">
        <v>93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14.25" customHeight="1">
      <c r="A26" s="15" t="s">
        <v>92</v>
      </c>
      <c r="B26" s="64">
        <f>100</f>
        <v>100</v>
      </c>
      <c r="C26" s="56" t="s">
        <v>93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4" ht="14.25" customHeight="1">
      <c r="A27" s="15" t="s">
        <v>97</v>
      </c>
      <c r="B27" s="65">
        <f>8*75*1.19</f>
        <v>714</v>
      </c>
      <c r="C27" s="56" t="s">
        <v>93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</row>
    <row r="28" spans="1:14" ht="14.25" customHeight="1">
      <c r="A28" s="15" t="s">
        <v>168</v>
      </c>
      <c r="B28" s="89" t="s">
        <v>154</v>
      </c>
      <c r="C28" s="89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</row>
    <row r="29" spans="1:14" ht="14.25" customHeight="1">
      <c r="A29" s="15" t="s">
        <v>76</v>
      </c>
      <c r="B29" s="64">
        <v>600</v>
      </c>
      <c r="C29" s="56" t="s">
        <v>71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</row>
    <row r="30" spans="1:14" ht="14.25" customHeight="1">
      <c r="A30" s="15" t="s">
        <v>77</v>
      </c>
      <c r="B30" s="64">
        <v>1500</v>
      </c>
      <c r="C30" s="56" t="s">
        <v>78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</row>
    <row r="31" spans="1:14" ht="14.25" customHeight="1">
      <c r="A31" s="43"/>
      <c r="B31" s="43"/>
      <c r="C31" s="43"/>
      <c r="D31" s="43"/>
      <c r="E31" s="43"/>
      <c r="F31" s="43"/>
      <c r="G31" s="47"/>
      <c r="H31" s="43"/>
      <c r="I31" s="43"/>
      <c r="J31" s="43"/>
      <c r="K31" s="43"/>
      <c r="L31" s="43"/>
      <c r="M31" s="43"/>
      <c r="N31" s="43"/>
    </row>
    <row r="32" spans="1:14" ht="14.25" customHeight="1">
      <c r="A32" s="46" t="s">
        <v>55</v>
      </c>
      <c r="B32" s="43"/>
      <c r="C32" s="43"/>
      <c r="D32" s="43"/>
      <c r="E32" s="43"/>
      <c r="F32" s="43"/>
      <c r="G32" s="47"/>
      <c r="H32" s="43"/>
      <c r="I32" s="43"/>
      <c r="J32" s="43"/>
      <c r="K32" s="43"/>
      <c r="L32" s="43"/>
      <c r="M32" s="43"/>
      <c r="N32" s="43"/>
    </row>
    <row r="33" spans="1:14" ht="14.25" customHeight="1">
      <c r="A33" s="43"/>
      <c r="B33" s="66"/>
      <c r="C33" s="43"/>
      <c r="D33" s="47"/>
      <c r="E33" s="47"/>
      <c r="F33" s="43"/>
      <c r="G33" s="43"/>
      <c r="H33" s="43"/>
      <c r="I33" s="43"/>
      <c r="J33" s="43"/>
      <c r="K33" s="43"/>
      <c r="L33" s="43"/>
      <c r="M33" s="43"/>
      <c r="N33" s="43"/>
    </row>
    <row r="34" spans="1:14" ht="14.25" customHeight="1">
      <c r="A34" s="15" t="s">
        <v>166</v>
      </c>
      <c r="B34" s="67">
        <f>IF(B5='Rechnungen '!S6,11.55*B7,IF(B5='Rechnungen '!S7,11.55*B7,IF(B5='Rechnungen '!S8,9.8*B7,IF(B5='Rechnungen '!S9,9.8*B7,IF(B5='Rechnungen '!S10,B7,0)))))</f>
        <v>28875</v>
      </c>
      <c r="C34" s="14" t="s">
        <v>0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</row>
    <row r="35" spans="1:14" ht="14.25" customHeight="1">
      <c r="A35" s="15" t="s">
        <v>60</v>
      </c>
      <c r="B35" s="68">
        <f>IF(B5='Rechnungen '!S6,0.7*B34,IF(B5='Rechnungen '!S7,0.95*B34,IF(B5='Rechnungen '!S8,0.7*B34,IF(B5='Rechnungen '!S9,0.95*B34,IF(B5='Rechnungen '!S10,1*B34,0)))))</f>
        <v>20212.5</v>
      </c>
      <c r="C35" s="14" t="s">
        <v>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4" ht="14.25" customHeight="1">
      <c r="A36" s="15" t="s">
        <v>52</v>
      </c>
      <c r="B36" s="67">
        <f>B9*700</f>
        <v>2800</v>
      </c>
      <c r="C36" s="14" t="s">
        <v>8</v>
      </c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4.25" customHeight="1">
      <c r="A37" s="15" t="s">
        <v>53</v>
      </c>
      <c r="B37" s="69">
        <f>B35-B36</f>
        <v>17412.5</v>
      </c>
      <c r="C37" s="14" t="s">
        <v>8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1:14" ht="15" customHeight="1">
      <c r="A38" s="15" t="s">
        <v>54</v>
      </c>
      <c r="B38" s="70">
        <f>B37/B8</f>
        <v>116.08333333333333</v>
      </c>
      <c r="C38" s="14" t="s">
        <v>6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4" ht="14.25" customHeight="1">
      <c r="A39" s="15" t="s">
        <v>57</v>
      </c>
      <c r="B39" s="70">
        <f>B40/B8*1000</f>
        <v>58.041666666666671</v>
      </c>
      <c r="C39" s="14" t="s">
        <v>7</v>
      </c>
      <c r="D39" s="47"/>
      <c r="E39" s="47"/>
      <c r="F39" s="43"/>
      <c r="G39" s="43"/>
      <c r="H39" s="43"/>
      <c r="I39" s="43"/>
      <c r="J39" s="43"/>
      <c r="K39" s="43"/>
      <c r="L39" s="43"/>
      <c r="M39" s="43"/>
      <c r="N39" s="43"/>
    </row>
    <row r="40" spans="1:14" ht="14.25" customHeight="1">
      <c r="A40" s="14" t="s">
        <v>3</v>
      </c>
      <c r="B40" s="71">
        <f>B37/B17</f>
        <v>8.7062500000000007</v>
      </c>
      <c r="C40" s="14" t="s">
        <v>4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</row>
    <row r="41" spans="1:14" ht="14.25" customHeight="1">
      <c r="A41" s="15" t="s">
        <v>82</v>
      </c>
      <c r="B41" s="72">
        <f>IF(Kalkulator!B28='Rechnungen '!R20,0,IF(Kalkulator!B28='Rechnungen '!R21,0,IF(Kalkulator!B28='Rechnungen '!R22,8,IF(Kalkulator!B28='Rechnungen '!R23,0,IF(Kalkulator!B28='Rechnungen '!R24,8,IF(Kalkulator!B28='Rechnungen '!R25,20,0))))))</f>
        <v>8</v>
      </c>
      <c r="C41" s="15" t="s">
        <v>83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</row>
    <row r="42" spans="1:14" ht="14.25" customHeight="1">
      <c r="A42" s="15" t="s">
        <v>85</v>
      </c>
      <c r="B42" s="73">
        <f>IF(Kalkulator!B28='Rechnungen '!R20,'Rechnungen '!S20,IF(Kalkulator!B28='Rechnungen '!R21,'Rechnungen '!S21,IF(Kalkulator!B28='Rechnungen '!R22,'Rechnungen '!S22,IF(Kalkulator!B28='Rechnungen '!R23,'Rechnungen '!S23,IF(Kalkulator!B28='Rechnungen '!R24,'Rechnungen '!S24,IF(Kalkulator!B28='Rechnungen '!R25,'Rechnungen '!S25,0))))))</f>
        <v>0.4</v>
      </c>
      <c r="C42" s="1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1:14" ht="14.25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</row>
    <row r="44" spans="1:14" ht="14.25" customHeight="1">
      <c r="A44" s="46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</row>
    <row r="45" spans="1:14" ht="14.25" customHeight="1">
      <c r="A45" s="78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1:14" ht="14.25" customHeight="1">
      <c r="A46" s="43"/>
      <c r="D46" s="43"/>
      <c r="E46" s="43"/>
    </row>
    <row r="47" spans="1:14" ht="14.25" customHeight="1">
      <c r="A47" s="43"/>
      <c r="D47" s="43"/>
      <c r="E47" s="43"/>
    </row>
    <row r="48" spans="1:14" ht="14.25" customHeight="1">
      <c r="D48" s="43"/>
      <c r="E48" s="43"/>
    </row>
    <row r="49" spans="4:5" ht="14.25" customHeight="1">
      <c r="D49" s="43"/>
      <c r="E49" s="43"/>
    </row>
    <row r="50" spans="4:5" ht="14.25" customHeight="1">
      <c r="D50" s="43"/>
      <c r="E50" s="43"/>
    </row>
    <row r="51" spans="4:5" ht="14.25" customHeight="1">
      <c r="D51" s="43"/>
      <c r="E51" s="43"/>
    </row>
    <row r="52" spans="4:5" ht="14.25" customHeight="1">
      <c r="D52" s="43"/>
      <c r="E52" s="43"/>
    </row>
    <row r="53" spans="4:5" ht="14.25" customHeight="1">
      <c r="D53" s="43"/>
      <c r="E53" s="43"/>
    </row>
    <row r="54" spans="4:5" ht="14.25" customHeight="1">
      <c r="D54" s="43"/>
      <c r="E54" s="43"/>
    </row>
    <row r="55" spans="4:5" ht="14.25" customHeight="1">
      <c r="D55" s="43"/>
      <c r="E55" s="43"/>
    </row>
    <row r="56" spans="4:5" ht="14.25" customHeight="1">
      <c r="D56" s="43"/>
      <c r="E56" s="43"/>
    </row>
    <row r="57" spans="4:5" ht="14.25" customHeight="1">
      <c r="D57" s="43"/>
      <c r="E57" s="43"/>
    </row>
    <row r="58" spans="4:5" ht="14.25" customHeight="1">
      <c r="D58" s="43"/>
      <c r="E58" s="43"/>
    </row>
    <row r="59" spans="4:5" ht="14.25" customHeight="1">
      <c r="D59" s="43"/>
      <c r="E59" s="43"/>
    </row>
    <row r="60" spans="4:5" ht="14.25" customHeight="1">
      <c r="D60" s="43"/>
      <c r="E60" s="43"/>
    </row>
    <row r="61" spans="4:5" ht="14.25" customHeight="1">
      <c r="D61" s="43"/>
      <c r="E61" s="43"/>
    </row>
    <row r="62" spans="4:5" ht="14.25" customHeight="1">
      <c r="D62" s="43"/>
      <c r="E62" s="43"/>
    </row>
    <row r="63" spans="4:5" ht="14.25" customHeight="1">
      <c r="D63" s="43"/>
      <c r="E63" s="43"/>
    </row>
    <row r="64" spans="4:5" ht="14.25" customHeight="1">
      <c r="D64" s="43"/>
      <c r="E64" s="43"/>
    </row>
    <row r="65" spans="4:5" ht="14.25" customHeight="1">
      <c r="D65" s="43"/>
      <c r="E65" s="43"/>
    </row>
    <row r="66" spans="4:5" ht="14.25" customHeight="1">
      <c r="D66" s="43"/>
      <c r="E66" s="43"/>
    </row>
    <row r="67" spans="4:5" ht="14.25" customHeight="1">
      <c r="D67" s="43"/>
      <c r="E67" s="43"/>
    </row>
    <row r="68" spans="4:5" ht="14.25" customHeight="1">
      <c r="D68" s="43"/>
      <c r="E68" s="43"/>
    </row>
    <row r="69" spans="4:5" ht="14.25" customHeight="1">
      <c r="D69" s="43"/>
      <c r="E69" s="43"/>
    </row>
    <row r="70" spans="4:5" ht="14.25" customHeight="1">
      <c r="D70" s="43"/>
      <c r="E70" s="43"/>
    </row>
    <row r="71" spans="4:5" ht="14.25" customHeight="1">
      <c r="D71" s="43"/>
      <c r="E71" s="43"/>
    </row>
    <row r="72" spans="4:5" ht="14.25" customHeight="1">
      <c r="D72" s="43"/>
      <c r="E72" s="43"/>
    </row>
    <row r="73" spans="4:5" ht="14.25" customHeight="1">
      <c r="D73" s="43"/>
      <c r="E73" s="43"/>
    </row>
    <row r="74" spans="4:5" ht="14.25" customHeight="1">
      <c r="D74" s="43"/>
      <c r="E74" s="43"/>
    </row>
    <row r="75" spans="4:5" ht="14.25" customHeight="1">
      <c r="D75" s="43"/>
      <c r="E75" s="43"/>
    </row>
    <row r="76" spans="4:5" ht="14.25" customHeight="1">
      <c r="D76" s="43"/>
      <c r="E76" s="43"/>
    </row>
    <row r="77" spans="4:5" ht="14.25" customHeight="1">
      <c r="D77" s="43"/>
      <c r="E77" s="43"/>
    </row>
    <row r="78" spans="4:5" ht="14.25" customHeight="1">
      <c r="D78" s="43"/>
      <c r="E78" s="43"/>
    </row>
    <row r="79" spans="4:5" ht="14.25" customHeight="1">
      <c r="D79" s="43"/>
      <c r="E79" s="43"/>
    </row>
    <row r="80" spans="4:5" ht="14.25" customHeight="1">
      <c r="D80" s="43"/>
      <c r="E80" s="43"/>
    </row>
    <row r="81" spans="4:5" ht="14.25" customHeight="1">
      <c r="D81" s="43"/>
      <c r="E81" s="43"/>
    </row>
    <row r="82" spans="4:5" ht="14.25" customHeight="1">
      <c r="D82" s="43"/>
      <c r="E82" s="43"/>
    </row>
    <row r="83" spans="4:5" ht="14.25" customHeight="1">
      <c r="D83" s="43"/>
      <c r="E83" s="43"/>
    </row>
    <row r="84" spans="4:5" ht="14.4">
      <c r="D84" s="43"/>
      <c r="E84" s="43"/>
    </row>
    <row r="85" spans="4:5" ht="14.25" customHeight="1">
      <c r="D85" s="43"/>
      <c r="E85" s="43"/>
    </row>
    <row r="86" spans="4:5" ht="14.25" customHeight="1">
      <c r="D86" s="43"/>
      <c r="E86" s="43"/>
    </row>
    <row r="87" spans="4:5" ht="14.25" customHeight="1">
      <c r="D87" s="43"/>
      <c r="E87" s="43"/>
    </row>
    <row r="88" spans="4:5" ht="14.25" customHeight="1">
      <c r="D88" s="43"/>
      <c r="E88" s="43"/>
    </row>
    <row r="89" spans="4:5" ht="14.25" customHeight="1">
      <c r="D89" s="43"/>
      <c r="E89" s="43"/>
    </row>
    <row r="90" spans="4:5" ht="14.25" customHeight="1">
      <c r="D90" s="43"/>
      <c r="E90" s="43"/>
    </row>
    <row r="91" spans="4:5" ht="14.25" customHeight="1">
      <c r="D91" s="43"/>
      <c r="E91" s="43"/>
    </row>
    <row r="92" spans="4:5" ht="14.25" customHeight="1">
      <c r="D92" s="43"/>
      <c r="E92" s="43"/>
    </row>
    <row r="93" spans="4:5" ht="14.25" customHeight="1">
      <c r="D93" s="43"/>
      <c r="E93" s="43"/>
    </row>
    <row r="94" spans="4:5" ht="14.25" customHeight="1"/>
    <row r="95" spans="4:5" ht="14.25" customHeight="1"/>
    <row r="96" spans="4:5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  <row r="1001" ht="14.25" customHeight="1"/>
    <row r="1002" ht="14.25" customHeight="1"/>
    <row r="1003" ht="14.25" customHeight="1"/>
    <row r="1004" ht="14.25" customHeight="1"/>
    <row r="1005" ht="14.25" customHeight="1"/>
    <row r="1006" ht="14.25" customHeight="1"/>
    <row r="1007" ht="14.25" customHeight="1"/>
    <row r="1008" ht="14.25" customHeight="1"/>
    <row r="1009" ht="14.25" customHeight="1"/>
    <row r="1010" ht="14.25" customHeight="1"/>
    <row r="1011" ht="14.25" customHeight="1"/>
    <row r="1012" ht="14.25" customHeight="1"/>
    <row r="1013" ht="14.25" customHeight="1"/>
    <row r="1014" ht="14.25" customHeight="1"/>
    <row r="1015" ht="14.25" customHeight="1"/>
    <row r="1016" ht="14.25" customHeight="1"/>
    <row r="1017" ht="14.25" customHeight="1"/>
    <row r="1018" ht="14.25" customHeight="1"/>
    <row r="1019" ht="14.25" customHeight="1"/>
    <row r="1020" ht="14.25" customHeight="1"/>
    <row r="1021" ht="14.25" customHeight="1"/>
    <row r="1022" ht="14.25" customHeight="1"/>
    <row r="1023" ht="14.25" customHeight="1"/>
    <row r="1024" ht="14.25" customHeight="1"/>
    <row r="1025" ht="14.25" customHeight="1"/>
    <row r="1026" ht="14.25" customHeight="1"/>
    <row r="1027" ht="14.25" customHeight="1"/>
    <row r="1028" ht="14.25" customHeight="1"/>
    <row r="1029" ht="14.25" customHeight="1"/>
    <row r="1030" ht="14.25" customHeight="1"/>
  </sheetData>
  <dataConsolidate/>
  <mergeCells count="7">
    <mergeCell ref="J2:J3"/>
    <mergeCell ref="G2:G3"/>
    <mergeCell ref="A5:A6"/>
    <mergeCell ref="B5:C6"/>
    <mergeCell ref="B28:C28"/>
    <mergeCell ref="H2:H3"/>
    <mergeCell ref="I2:I3"/>
  </mergeCells>
  <pageMargins left="0.7" right="0.7" top="0.78740157499999996" bottom="0.78740157499999996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'Rechnungen '!$R$20:$R$25</xm:f>
          </x14:formula1>
          <xm:sqref>B28</xm:sqref>
        </x14:dataValidation>
        <x14:dataValidation type="list" allowBlank="1" showErrorMessage="1" errorTitle="Heizungstyp" error="Eingaben nicht möglich. Bitte einen vorgefertigten Heizungstyp im DropDown-Menü auswählen." promptTitle="Heizungstyp" prompt="Bitte Heizungstyp auswählen">
          <x14:formula1>
            <xm:f>'Rechnungen '!$S$6:$S$10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zoomScale="55" zoomScaleNormal="55" workbookViewId="0">
      <selection activeCell="D18" sqref="D18"/>
    </sheetView>
  </sheetViews>
  <sheetFormatPr baseColWidth="10" defaultRowHeight="14.4"/>
  <cols>
    <col min="1" max="1" width="65.21875" bestFit="1" customWidth="1"/>
    <col min="2" max="2" width="42.109375" bestFit="1" customWidth="1"/>
    <col min="3" max="3" width="25.6640625" customWidth="1"/>
    <col min="4" max="5" width="20.77734375" customWidth="1"/>
    <col min="6" max="6" width="19.5546875" bestFit="1" customWidth="1"/>
    <col min="7" max="9" width="19.5546875" customWidth="1"/>
    <col min="10" max="10" width="21.109375" bestFit="1" customWidth="1"/>
    <col min="11" max="11" width="13.5546875" bestFit="1" customWidth="1"/>
    <col min="13" max="13" width="12.21875" bestFit="1" customWidth="1"/>
    <col min="18" max="18" width="43.77734375" bestFit="1" customWidth="1"/>
    <col min="19" max="19" width="16.21875" bestFit="1" customWidth="1"/>
  </cols>
  <sheetData>
    <row r="1" spans="1:19">
      <c r="B1" s="16" t="s">
        <v>134</v>
      </c>
      <c r="R1" t="s">
        <v>59</v>
      </c>
    </row>
    <row r="2" spans="1:19">
      <c r="A2" s="16" t="s">
        <v>144</v>
      </c>
      <c r="B2">
        <v>75</v>
      </c>
      <c r="C2" s="16" t="s">
        <v>135</v>
      </c>
      <c r="D2" t="s">
        <v>133</v>
      </c>
      <c r="R2" t="s">
        <v>58</v>
      </c>
    </row>
    <row r="3" spans="1:19">
      <c r="R3" t="s">
        <v>61</v>
      </c>
    </row>
    <row r="4" spans="1:19">
      <c r="A4" s="16" t="s">
        <v>143</v>
      </c>
      <c r="B4">
        <v>175</v>
      </c>
    </row>
    <row r="5" spans="1:19">
      <c r="A5" s="16" t="s">
        <v>142</v>
      </c>
      <c r="B5">
        <f>B4*Kalkulator!B41*20</f>
        <v>28000</v>
      </c>
      <c r="C5" s="16" t="s">
        <v>83</v>
      </c>
      <c r="S5" t="s">
        <v>48</v>
      </c>
    </row>
    <row r="6" spans="1:19">
      <c r="A6" s="16" t="s">
        <v>146</v>
      </c>
      <c r="B6">
        <f>IF(Kalkulator!B41&gt;0,B2*B11*1000/B5,0)</f>
        <v>42.857142857142854</v>
      </c>
      <c r="C6" s="16" t="s">
        <v>147</v>
      </c>
      <c r="S6" s="77" t="s">
        <v>162</v>
      </c>
    </row>
    <row r="7" spans="1:19">
      <c r="A7" s="16"/>
      <c r="C7" s="16"/>
      <c r="S7" s="77" t="s">
        <v>161</v>
      </c>
    </row>
    <row r="8" spans="1:19">
      <c r="A8" s="16"/>
      <c r="C8" s="16"/>
      <c r="S8" s="77" t="s">
        <v>163</v>
      </c>
    </row>
    <row r="9" spans="1:19">
      <c r="A9" s="16"/>
      <c r="C9" s="16"/>
      <c r="S9" s="77" t="s">
        <v>164</v>
      </c>
    </row>
    <row r="10" spans="1:19">
      <c r="A10" s="16" t="s">
        <v>136</v>
      </c>
      <c r="B10">
        <v>50</v>
      </c>
      <c r="C10" s="16" t="s">
        <v>129</v>
      </c>
      <c r="D10" t="s">
        <v>137</v>
      </c>
      <c r="S10" s="77" t="s">
        <v>165</v>
      </c>
    </row>
    <row r="11" spans="1:19">
      <c r="A11" s="16" t="s">
        <v>138</v>
      </c>
      <c r="B11">
        <f>IF(Kalkulator!B28='Rechnungen '!R20,0,IF(Kalkulator!B28='Rechnungen '!R21,8,IF(Kalkulator!B28='Rechnungen '!R22,8,IF(Kalkulator!B28='Rechnungen '!R23,16,IF(Kalkulator!B28='Rechnungen '!R24,16,IF(Kalkulator!B28='Rechnungen '!R25,16,0))))))</f>
        <v>16</v>
      </c>
    </row>
    <row r="12" spans="1:19">
      <c r="A12" s="16" t="s">
        <v>140</v>
      </c>
      <c r="B12">
        <v>950</v>
      </c>
      <c r="C12" s="16" t="s">
        <v>141</v>
      </c>
    </row>
    <row r="13" spans="1:19">
      <c r="A13" s="16" t="s">
        <v>139</v>
      </c>
      <c r="B13">
        <f>B12*B11*20</f>
        <v>304000</v>
      </c>
      <c r="C13" s="16" t="s">
        <v>83</v>
      </c>
    </row>
    <row r="14" spans="1:19">
      <c r="A14" s="16" t="s">
        <v>145</v>
      </c>
      <c r="B14">
        <f>IF(B11&gt;0,B5/B13*B6+B10,0)</f>
        <v>53.94736842105263</v>
      </c>
      <c r="C14" s="16" t="s">
        <v>147</v>
      </c>
    </row>
    <row r="16" spans="1:19">
      <c r="B16" s="16" t="s">
        <v>127</v>
      </c>
      <c r="C16" s="16" t="s">
        <v>126</v>
      </c>
      <c r="D16" s="16" t="s">
        <v>125</v>
      </c>
    </row>
    <row r="17" spans="1:19">
      <c r="A17" s="16" t="s">
        <v>124</v>
      </c>
      <c r="B17">
        <f>(1-B43)*B39</f>
        <v>3120.9659090909086</v>
      </c>
      <c r="C17">
        <f>(1-F43)*F39</f>
        <v>3465</v>
      </c>
      <c r="D17" s="34">
        <f>J39</f>
        <v>21276.315789473687</v>
      </c>
      <c r="E17" s="16" t="s">
        <v>8</v>
      </c>
      <c r="F17" t="s">
        <v>132</v>
      </c>
    </row>
    <row r="18" spans="1:19">
      <c r="A18" s="16" t="s">
        <v>128</v>
      </c>
      <c r="B18">
        <v>428</v>
      </c>
      <c r="C18">
        <v>428</v>
      </c>
      <c r="D18">
        <v>200.8</v>
      </c>
      <c r="E18" s="16" t="s">
        <v>129</v>
      </c>
      <c r="F18" t="s">
        <v>130</v>
      </c>
    </row>
    <row r="19" spans="1:19">
      <c r="A19" s="16" t="s">
        <v>123</v>
      </c>
      <c r="B19" s="35">
        <f>B17*B18/1000000+B43*B39*B14/1000000</f>
        <v>1.4480186742424241</v>
      </c>
      <c r="C19">
        <f>C17*C18/1000000+F43*F39*$B$14/1000000</f>
        <v>1.6076384210526315</v>
      </c>
      <c r="D19" s="16">
        <f>D17*D18/1000000</f>
        <v>4.2722842105263164</v>
      </c>
      <c r="E19" s="16" t="s">
        <v>131</v>
      </c>
      <c r="R19" s="16" t="s">
        <v>81</v>
      </c>
      <c r="S19" s="16" t="s">
        <v>84</v>
      </c>
    </row>
    <row r="20" spans="1:19">
      <c r="R20" s="17" t="s">
        <v>73</v>
      </c>
      <c r="S20" s="18">
        <v>0</v>
      </c>
    </row>
    <row r="21" spans="1:19">
      <c r="R21" s="17" t="s">
        <v>151</v>
      </c>
      <c r="S21" s="18">
        <v>0.15</v>
      </c>
    </row>
    <row r="22" spans="1:19">
      <c r="R22" s="17" t="s">
        <v>152</v>
      </c>
      <c r="S22" s="18">
        <v>0.35</v>
      </c>
    </row>
    <row r="23" spans="1:19">
      <c r="R23" s="17" t="s">
        <v>153</v>
      </c>
      <c r="S23" s="18">
        <v>0.2</v>
      </c>
    </row>
    <row r="24" spans="1:19">
      <c r="R24" s="17" t="s">
        <v>154</v>
      </c>
      <c r="S24" s="18">
        <v>0.4</v>
      </c>
    </row>
    <row r="25" spans="1:19">
      <c r="R25" s="17" t="s">
        <v>155</v>
      </c>
      <c r="S25" s="18">
        <v>0.55000000000000004</v>
      </c>
    </row>
    <row r="31" spans="1:19">
      <c r="A31" s="1"/>
      <c r="B31" s="1" t="s">
        <v>9</v>
      </c>
      <c r="C31" s="1"/>
      <c r="D31" s="1"/>
      <c r="E31" s="1"/>
      <c r="F31" s="1" t="s">
        <v>10</v>
      </c>
      <c r="G31" s="1"/>
      <c r="H31" s="1"/>
      <c r="I31" s="1"/>
      <c r="J31" s="1" t="s">
        <v>62</v>
      </c>
      <c r="L31" s="2"/>
      <c r="M31" s="2"/>
      <c r="N31" s="2"/>
    </row>
    <row r="32" spans="1:19">
      <c r="A32" s="1" t="s">
        <v>11</v>
      </c>
      <c r="B32" s="1" t="s">
        <v>12</v>
      </c>
      <c r="C32" s="1"/>
      <c r="D32" s="1"/>
      <c r="E32" s="1"/>
      <c r="F32" s="1" t="s">
        <v>13</v>
      </c>
      <c r="G32" s="1"/>
      <c r="H32" s="1"/>
      <c r="I32" s="1"/>
      <c r="J32" s="1"/>
    </row>
    <row r="33" spans="1:16">
      <c r="A33" s="1" t="s">
        <v>14</v>
      </c>
      <c r="B33" s="3">
        <v>4000</v>
      </c>
      <c r="C33" s="3"/>
      <c r="D33" s="3"/>
      <c r="E33" s="3"/>
      <c r="F33" s="1"/>
      <c r="G33" s="1"/>
      <c r="H33" s="1"/>
      <c r="I33" s="1"/>
      <c r="J33" s="1"/>
    </row>
    <row r="34" spans="1:16">
      <c r="A34" s="1" t="s">
        <v>15</v>
      </c>
      <c r="B34" s="3">
        <v>1100</v>
      </c>
      <c r="C34" s="3"/>
      <c r="D34" s="3"/>
      <c r="E34" s="3"/>
      <c r="F34" s="1"/>
      <c r="G34" s="1"/>
      <c r="H34" s="1"/>
      <c r="I34" s="1"/>
      <c r="J34" s="1"/>
    </row>
    <row r="35" spans="1:16">
      <c r="A35" s="1" t="s">
        <v>16</v>
      </c>
      <c r="B35" s="3">
        <f>Kalkulator!B40*B34+B33</f>
        <v>13576.875</v>
      </c>
      <c r="C35" s="3"/>
      <c r="D35" s="3"/>
      <c r="E35" s="3"/>
      <c r="F35" s="3">
        <f>Kalkulator!B22</f>
        <v>26250</v>
      </c>
      <c r="G35" s="3"/>
      <c r="H35" s="3"/>
      <c r="I35" s="3"/>
      <c r="J35" s="3">
        <f>Kalkulator!B20</f>
        <v>10000</v>
      </c>
      <c r="L35" s="2"/>
      <c r="M35" s="2"/>
    </row>
    <row r="36" spans="1:16">
      <c r="A36" s="1" t="s">
        <v>17</v>
      </c>
      <c r="B36" s="1"/>
      <c r="C36" s="1"/>
      <c r="D36" s="1"/>
      <c r="E36" s="1"/>
      <c r="F36" s="1">
        <f>Kalkulator!B18</f>
        <v>3.5</v>
      </c>
      <c r="G36" s="1"/>
      <c r="H36" s="1"/>
      <c r="I36" s="1"/>
      <c r="J36" s="1"/>
    </row>
    <row r="37" spans="1:16">
      <c r="A37" s="1" t="s">
        <v>18</v>
      </c>
      <c r="B37" s="1">
        <f>Kalkulator!B19</f>
        <v>4</v>
      </c>
      <c r="C37" s="1"/>
      <c r="D37" s="1"/>
      <c r="E37" s="1"/>
      <c r="F37" s="1"/>
      <c r="G37" s="1"/>
      <c r="H37" s="1"/>
      <c r="I37" s="1"/>
      <c r="J37" s="1"/>
    </row>
    <row r="38" spans="1:16">
      <c r="A38" s="1" t="s">
        <v>19</v>
      </c>
      <c r="B38" s="1">
        <v>3.3</v>
      </c>
      <c r="C38" s="1"/>
      <c r="D38" s="1"/>
      <c r="E38" s="1"/>
      <c r="F38" s="1"/>
      <c r="G38" s="1"/>
      <c r="H38" s="1"/>
      <c r="I38" s="1"/>
      <c r="J38" s="1"/>
    </row>
    <row r="39" spans="1:16">
      <c r="A39" s="1" t="s">
        <v>20</v>
      </c>
      <c r="B39" s="4">
        <f>Kalkulator!B37/B37+Kalkulator!B36/B38</f>
        <v>5201.609848484848</v>
      </c>
      <c r="C39" s="4"/>
      <c r="D39" s="4"/>
      <c r="E39" s="4"/>
      <c r="F39" s="4">
        <f>Kalkulator!B35/F36</f>
        <v>5775</v>
      </c>
      <c r="G39" s="4"/>
      <c r="H39" s="4"/>
      <c r="I39" s="4"/>
      <c r="J39">
        <f>Kalkulator!B35/0.95</f>
        <v>21276.315789473687</v>
      </c>
    </row>
    <row r="40" spans="1:16">
      <c r="A40" s="1" t="s">
        <v>21</v>
      </c>
      <c r="B40" s="5">
        <f>Kalkulator!B10</f>
        <v>0.33800000000000002</v>
      </c>
      <c r="C40" s="5"/>
      <c r="D40" s="5"/>
      <c r="E40" s="5"/>
      <c r="F40" s="5">
        <f>Kalkulator!B10</f>
        <v>0.33800000000000002</v>
      </c>
      <c r="G40" s="5"/>
      <c r="H40" s="5"/>
      <c r="I40" s="5"/>
      <c r="J40" s="1">
        <f>Kalkulator!B11</f>
        <v>0.11169999999999999</v>
      </c>
      <c r="L40" s="2"/>
      <c r="M40" s="2"/>
      <c r="N40" s="11"/>
    </row>
    <row r="41" spans="1:16">
      <c r="A41" s="6" t="s">
        <v>22</v>
      </c>
      <c r="B41" s="20">
        <f>Kalkulator!B13</f>
        <v>0.03</v>
      </c>
      <c r="C41" s="21"/>
      <c r="D41" s="21"/>
      <c r="E41" s="21"/>
      <c r="F41" s="22"/>
      <c r="G41" s="22"/>
      <c r="H41" s="22"/>
      <c r="I41" s="22"/>
      <c r="J41" s="22"/>
    </row>
    <row r="42" spans="1:16">
      <c r="A42" s="1" t="s">
        <v>23</v>
      </c>
      <c r="B42" s="5">
        <f>IF(B40&gt;0.4,B40*0.2+0.4*0.8,B40)</f>
        <v>0.33800000000000002</v>
      </c>
      <c r="C42" s="5"/>
      <c r="D42" s="5"/>
      <c r="E42" s="5"/>
      <c r="F42" s="5">
        <f>IF(F40&gt;0.4,F40*0.2+0.4*0.8,F40)</f>
        <v>0.33800000000000002</v>
      </c>
      <c r="G42" s="5"/>
      <c r="H42" s="5"/>
      <c r="I42" s="5"/>
      <c r="J42" s="5">
        <f>IF(J40&gt;0.12,J40*0.2+0.12*0.8,J40)</f>
        <v>0.11169999999999999</v>
      </c>
    </row>
    <row r="43" spans="1:16">
      <c r="A43" s="1" t="s">
        <v>24</v>
      </c>
      <c r="B43" s="7">
        <f>Kalkulator!B42</f>
        <v>0.4</v>
      </c>
      <c r="C43" s="7"/>
      <c r="D43" s="7"/>
      <c r="E43" s="7"/>
      <c r="F43" s="7">
        <f>Kalkulator!B42</f>
        <v>0.4</v>
      </c>
      <c r="G43" s="7"/>
      <c r="H43" s="7"/>
      <c r="I43" s="7"/>
      <c r="J43" s="4"/>
      <c r="L43" s="2"/>
      <c r="M43" s="2"/>
    </row>
    <row r="44" spans="1:16">
      <c r="A44" s="1" t="s">
        <v>25</v>
      </c>
      <c r="B44" s="5">
        <f>Kalkulator!B30/($B$12*25)+IF(Kalkulator!B41&gt;0,Kalkulator!B41*Kalkulator!B29/(20*$B$4*Kalkulator!B41),0)</f>
        <v>0.23458646616541354</v>
      </c>
      <c r="C44" s="5"/>
      <c r="D44" s="5"/>
      <c r="E44" s="5"/>
      <c r="F44" s="5">
        <f>Kalkulator!B30/($B$12*25)+IF(Kalkulator!B41&gt;0,Kalkulator!B41*Kalkulator!B29/(20*$B$4*Kalkulator!B41),0)</f>
        <v>0.23458646616541354</v>
      </c>
      <c r="G44" s="5"/>
      <c r="H44" s="5"/>
      <c r="I44" s="5"/>
      <c r="J44" s="5"/>
      <c r="L44" s="2"/>
      <c r="M44" s="2"/>
    </row>
    <row r="45" spans="1:16">
      <c r="A45" s="6" t="s">
        <v>64</v>
      </c>
      <c r="B45" s="10"/>
      <c r="C45" s="10"/>
      <c r="D45" s="10"/>
      <c r="E45" s="10"/>
      <c r="F45" s="10"/>
      <c r="G45" s="10"/>
      <c r="H45" s="10"/>
      <c r="I45" s="10"/>
      <c r="J45" s="10">
        <f>Kalkulator!B12</f>
        <v>100</v>
      </c>
      <c r="L45" s="2"/>
      <c r="M45" s="2"/>
    </row>
    <row r="46" spans="1:16">
      <c r="A46" s="19"/>
    </row>
    <row r="47" spans="1:16">
      <c r="A47" s="12"/>
      <c r="B47" s="25" t="s">
        <v>94</v>
      </c>
      <c r="C47" s="25" t="s">
        <v>95</v>
      </c>
      <c r="D47" s="25" t="s">
        <v>96</v>
      </c>
      <c r="E47" s="25" t="s">
        <v>101</v>
      </c>
      <c r="F47" s="25" t="s">
        <v>94</v>
      </c>
      <c r="G47" s="25" t="s">
        <v>95</v>
      </c>
      <c r="H47" s="25" t="s">
        <v>96</v>
      </c>
      <c r="I47" s="25" t="s">
        <v>101</v>
      </c>
      <c r="J47" s="25" t="s">
        <v>98</v>
      </c>
      <c r="K47" s="25" t="s">
        <v>95</v>
      </c>
      <c r="L47" s="25" t="s">
        <v>96</v>
      </c>
      <c r="M47" s="25" t="s">
        <v>101</v>
      </c>
      <c r="O47" s="16" t="s">
        <v>100</v>
      </c>
    </row>
    <row r="48" spans="1:16">
      <c r="A48" s="14" t="s">
        <v>63</v>
      </c>
      <c r="B48" s="26">
        <f>(B42*(1-$B$43)+$B$43*$B$44)*B39</f>
        <v>1542.9773863636362</v>
      </c>
      <c r="C48" s="27">
        <f>Kalkulator!B27</f>
        <v>714</v>
      </c>
      <c r="D48" s="27">
        <f>B35/20</f>
        <v>678.84375</v>
      </c>
      <c r="E48" s="27">
        <f>D48+C48+B48</f>
        <v>2935.8211363636365</v>
      </c>
      <c r="F48" s="26">
        <f>(F42*(1-$F$43)+$F$43*$F$44)*F39</f>
        <v>1713.0647368421053</v>
      </c>
      <c r="G48" s="27">
        <f>Kalkulator!B26</f>
        <v>100</v>
      </c>
      <c r="H48" s="27">
        <f>F35/20</f>
        <v>1312.5</v>
      </c>
      <c r="I48" s="27">
        <f>H48+G48+F48</f>
        <v>3125.564736842105</v>
      </c>
      <c r="J48" s="26">
        <f>$J$42*$J$39+$J$45</f>
        <v>2476.5644736842105</v>
      </c>
      <c r="K48" s="27">
        <f>Kalkulator!B25</f>
        <v>200</v>
      </c>
      <c r="L48" s="27">
        <f>J35/20</f>
        <v>500</v>
      </c>
      <c r="M48" s="27">
        <f>L48+K48+J48</f>
        <v>3176.5644736842105</v>
      </c>
      <c r="O48" s="16" t="s">
        <v>103</v>
      </c>
      <c r="P48" t="s">
        <v>65</v>
      </c>
    </row>
    <row r="49" spans="1:16">
      <c r="A49" s="14" t="s">
        <v>26</v>
      </c>
      <c r="B49" s="26">
        <f t="shared" ref="B49:B67" si="0">($B$40*((1+$B$41)^N49)*(1-$B$43)+$B$43*$B$44)*$B$39</f>
        <v>1574.623980681818</v>
      </c>
      <c r="C49" s="28">
        <f>C48*(1+'Rechnungen '!$B$41)</f>
        <v>735.42000000000007</v>
      </c>
      <c r="D49" s="26">
        <f>D48</f>
        <v>678.84375</v>
      </c>
      <c r="E49" s="27">
        <f t="shared" ref="E49:E67" si="1">D49+C49+B49</f>
        <v>2988.8877306818181</v>
      </c>
      <c r="F49" s="26">
        <f t="shared" ref="F49:F67" si="2">($F$40*((1+$B$41)^$N49)*(1-$F$43)+$F$43*$F$44)*$F$39</f>
        <v>1748.1998368421052</v>
      </c>
      <c r="G49" s="28">
        <f>G48*(1+'Rechnungen '!$B$41)</f>
        <v>103</v>
      </c>
      <c r="H49" s="26">
        <f>H48</f>
        <v>1312.5</v>
      </c>
      <c r="I49" s="27">
        <f t="shared" ref="I49:I67" si="3">H49+G49+F49</f>
        <v>3163.6998368421055</v>
      </c>
      <c r="J49" s="26">
        <f>(($J$40/1.07*1.19)*((1+$B$41)^$N49))*$J$39+$J$45*((1+$B$41)^$N49)+$J$39*0.0002008*5</f>
        <v>2846.7493419822922</v>
      </c>
      <c r="K49" s="28">
        <f>K48*(1+'Rechnungen '!$B$41)</f>
        <v>206</v>
      </c>
      <c r="L49" s="29">
        <f>L48</f>
        <v>500</v>
      </c>
      <c r="M49" s="27">
        <f t="shared" ref="M49:M67" si="4">L49+K49+J49</f>
        <v>3552.7493419822922</v>
      </c>
      <c r="N49" s="2">
        <v>1</v>
      </c>
      <c r="O49" s="16" t="s">
        <v>104</v>
      </c>
      <c r="P49" s="2" t="s">
        <v>67</v>
      </c>
    </row>
    <row r="50" spans="1:16">
      <c r="A50" s="14" t="s">
        <v>27</v>
      </c>
      <c r="B50" s="26">
        <f t="shared" si="0"/>
        <v>1607.2199728295454</v>
      </c>
      <c r="C50" s="28">
        <f>C49*(1+'Rechnungen '!$B$41)</f>
        <v>757.48260000000005</v>
      </c>
      <c r="D50" s="26">
        <f>D49</f>
        <v>678.84375</v>
      </c>
      <c r="E50" s="27">
        <f t="shared" si="1"/>
        <v>3043.5463228295457</v>
      </c>
      <c r="F50" s="26">
        <f t="shared" si="2"/>
        <v>1784.3889898421055</v>
      </c>
      <c r="G50" s="28">
        <f>G49*(1+'Rechnungen '!$B$41)</f>
        <v>106.09</v>
      </c>
      <c r="H50" s="26">
        <f>H49</f>
        <v>1312.5</v>
      </c>
      <c r="I50" s="27">
        <f t="shared" si="3"/>
        <v>3202.9789898421054</v>
      </c>
      <c r="J50" s="26">
        <f>(($J$40/1.07*1.19)*((1+$B$41)^$N50))*$J$39+$J$45*((1+$B$41)^$N50)+$J$39*0.0002008*15</f>
        <v>2974.2338217154452</v>
      </c>
      <c r="K50" s="28">
        <f>K49*(1+'Rechnungen '!$B$41)</f>
        <v>212.18</v>
      </c>
      <c r="L50" s="29">
        <f>L49</f>
        <v>500</v>
      </c>
      <c r="M50" s="27">
        <f t="shared" si="4"/>
        <v>3686.413821715445</v>
      </c>
      <c r="N50" s="2">
        <v>2</v>
      </c>
      <c r="O50" s="16" t="s">
        <v>105</v>
      </c>
      <c r="P50" t="s">
        <v>66</v>
      </c>
    </row>
    <row r="51" spans="1:16">
      <c r="A51" s="14" t="s">
        <v>28</v>
      </c>
      <c r="B51" s="26">
        <f t="shared" si="0"/>
        <v>1640.7938447417046</v>
      </c>
      <c r="C51" s="28">
        <f>C50*(1+'Rechnungen '!$B$41)</f>
        <v>780.20707800000002</v>
      </c>
      <c r="D51" s="26">
        <f t="shared" ref="D51:D67" si="5">D50</f>
        <v>678.84375</v>
      </c>
      <c r="E51" s="27">
        <f t="shared" si="1"/>
        <v>3099.8446727417045</v>
      </c>
      <c r="F51" s="26">
        <f t="shared" si="2"/>
        <v>1821.6638174321054</v>
      </c>
      <c r="G51" s="28">
        <f>G50*(1+'Rechnungen '!$B$41)</f>
        <v>109.2727</v>
      </c>
      <c r="H51" s="26">
        <f t="shared" ref="H51:H67" si="6">H50</f>
        <v>1312.5</v>
      </c>
      <c r="I51" s="27">
        <f t="shared" si="3"/>
        <v>3243.4365174321056</v>
      </c>
      <c r="J51" s="26">
        <f>(($J$40/1.07*1.19)*((1+$B$41)^$N51))*$J$39+$J$45*((1+$B$41)^$N51)+$J$39*0.0002008*30</f>
        <v>3125.6225716300664</v>
      </c>
      <c r="K51" s="28">
        <f>K50*(1+'Rechnungen '!$B$41)</f>
        <v>218.5454</v>
      </c>
      <c r="L51" s="29">
        <f t="shared" ref="L51:L67" si="7">L50</f>
        <v>500</v>
      </c>
      <c r="M51" s="27">
        <f t="shared" si="4"/>
        <v>3844.1679716300664</v>
      </c>
      <c r="N51" s="2">
        <v>3</v>
      </c>
      <c r="O51" s="16" t="s">
        <v>106</v>
      </c>
      <c r="P51" t="s">
        <v>68</v>
      </c>
    </row>
    <row r="52" spans="1:16">
      <c r="A52" s="14" t="s">
        <v>29</v>
      </c>
      <c r="B52" s="26">
        <f t="shared" si="0"/>
        <v>1675.3749328112283</v>
      </c>
      <c r="C52" s="28">
        <f>C51*(1+'Rechnungen '!$B$41)</f>
        <v>803.61329034000005</v>
      </c>
      <c r="D52" s="26">
        <f t="shared" si="5"/>
        <v>678.84375</v>
      </c>
      <c r="E52" s="27">
        <f t="shared" si="1"/>
        <v>3157.8319731512283</v>
      </c>
      <c r="F52" s="26">
        <f t="shared" si="2"/>
        <v>1860.0568898498054</v>
      </c>
      <c r="G52" s="28">
        <f>G51*(1+'Rechnungen '!$B$41)</f>
        <v>112.550881</v>
      </c>
      <c r="H52" s="26">
        <f t="shared" si="6"/>
        <v>1312.5</v>
      </c>
      <c r="I52" s="27">
        <f t="shared" si="3"/>
        <v>3285.1077708498055</v>
      </c>
      <c r="J52" s="26">
        <f t="shared" ref="J52:J67" si="8">(($J$40/1.07*1.19)*((1+$B$41)^$N52))*$J$39+$J$45*((1+$B$41)^$N52)+$J$39*0.0002008*30</f>
        <v>3215.546192989495</v>
      </c>
      <c r="K52" s="28">
        <f>K51*(1+'Rechnungen '!$B$41)</f>
        <v>225.10176200000001</v>
      </c>
      <c r="L52" s="29">
        <f t="shared" si="7"/>
        <v>500</v>
      </c>
      <c r="M52" s="27">
        <f t="shared" si="4"/>
        <v>3940.6479549894948</v>
      </c>
      <c r="N52" s="2">
        <v>4</v>
      </c>
      <c r="O52" s="16" t="s">
        <v>107</v>
      </c>
    </row>
    <row r="53" spans="1:16">
      <c r="A53" s="14" t="s">
        <v>30</v>
      </c>
      <c r="B53" s="26">
        <f t="shared" si="0"/>
        <v>1710.9934535228379</v>
      </c>
      <c r="C53" s="28">
        <f>C52*(1+'Rechnungen '!$B$41)</f>
        <v>827.7216890502001</v>
      </c>
      <c r="D53" s="26">
        <f t="shared" si="5"/>
        <v>678.84375</v>
      </c>
      <c r="E53" s="27">
        <f t="shared" si="1"/>
        <v>3217.5588925730381</v>
      </c>
      <c r="F53" s="26">
        <f t="shared" si="2"/>
        <v>1899.6017544400363</v>
      </c>
      <c r="G53" s="28">
        <f>G52*(1+'Rechnungen '!$B$41)</f>
        <v>115.92740743</v>
      </c>
      <c r="H53" s="26">
        <f t="shared" si="6"/>
        <v>1312.5</v>
      </c>
      <c r="I53" s="27">
        <f t="shared" si="3"/>
        <v>3328.0291618700362</v>
      </c>
      <c r="J53" s="26">
        <f t="shared" si="8"/>
        <v>3308.1675229897055</v>
      </c>
      <c r="K53" s="28">
        <f>K52*(1+'Rechnungen '!$B$41)</f>
        <v>231.85481486</v>
      </c>
      <c r="L53" s="29">
        <f t="shared" si="7"/>
        <v>500</v>
      </c>
      <c r="M53" s="27">
        <f t="shared" si="4"/>
        <v>4040.0223378497058</v>
      </c>
      <c r="N53" s="2">
        <v>5</v>
      </c>
      <c r="O53" s="16" t="s">
        <v>108</v>
      </c>
    </row>
    <row r="54" spans="1:16">
      <c r="A54" s="14" t="s">
        <v>31</v>
      </c>
      <c r="B54" s="26">
        <f t="shared" si="0"/>
        <v>1747.6805298557956</v>
      </c>
      <c r="C54" s="28">
        <f>C53*(1+'Rechnungen '!$B$41)</f>
        <v>852.55333972170615</v>
      </c>
      <c r="D54" s="26">
        <f t="shared" si="5"/>
        <v>678.84375</v>
      </c>
      <c r="E54" s="27">
        <f t="shared" si="1"/>
        <v>3279.0776195775015</v>
      </c>
      <c r="F54" s="26">
        <f t="shared" si="2"/>
        <v>1940.332964967974</v>
      </c>
      <c r="G54" s="28">
        <f>G53*(1+'Rechnungen '!$B$41)</f>
        <v>119.4052296529</v>
      </c>
      <c r="H54" s="26">
        <f t="shared" si="6"/>
        <v>1312.5</v>
      </c>
      <c r="I54" s="27">
        <f t="shared" si="3"/>
        <v>3372.2381946208743</v>
      </c>
      <c r="J54" s="26">
        <f t="shared" si="8"/>
        <v>3403.567492889923</v>
      </c>
      <c r="K54" s="28">
        <f>K53*(1+'Rechnungen '!$B$41)</f>
        <v>238.81045930580001</v>
      </c>
      <c r="L54" s="29">
        <f t="shared" si="7"/>
        <v>500</v>
      </c>
      <c r="M54" s="27">
        <f t="shared" si="4"/>
        <v>4142.3779521957231</v>
      </c>
      <c r="N54" s="2">
        <v>6</v>
      </c>
      <c r="O54" s="16" t="s">
        <v>109</v>
      </c>
    </row>
    <row r="55" spans="1:16">
      <c r="A55" s="14" t="s">
        <v>32</v>
      </c>
      <c r="B55" s="26">
        <f t="shared" si="0"/>
        <v>1785.4682184787423</v>
      </c>
      <c r="C55" s="28">
        <f>C54*(1+'Rechnungen '!$B$41)</f>
        <v>878.12993991335736</v>
      </c>
      <c r="D55" s="26">
        <f t="shared" si="5"/>
        <v>678.84375</v>
      </c>
      <c r="E55" s="27">
        <f t="shared" si="1"/>
        <v>3342.4419083920993</v>
      </c>
      <c r="F55" s="26">
        <f t="shared" si="2"/>
        <v>1982.2861118117503</v>
      </c>
      <c r="G55" s="28">
        <f>G54*(1+'Rechnungen '!$B$41)</f>
        <v>122.987386542487</v>
      </c>
      <c r="H55" s="26">
        <f t="shared" si="6"/>
        <v>1312.5</v>
      </c>
      <c r="I55" s="27">
        <f t="shared" si="3"/>
        <v>3417.7734983542373</v>
      </c>
      <c r="J55" s="26">
        <f t="shared" si="8"/>
        <v>3501.8294618871473</v>
      </c>
      <c r="K55" s="28">
        <f>K54*(1+'Rechnungen '!$B$41)</f>
        <v>245.974773084974</v>
      </c>
      <c r="L55" s="29">
        <f t="shared" si="7"/>
        <v>500</v>
      </c>
      <c r="M55" s="27">
        <f t="shared" si="4"/>
        <v>4247.8042349721218</v>
      </c>
      <c r="N55" s="2">
        <v>7</v>
      </c>
      <c r="O55" s="16" t="s">
        <v>110</v>
      </c>
    </row>
    <row r="56" spans="1:16">
      <c r="A56" s="14" t="s">
        <v>33</v>
      </c>
      <c r="B56" s="26">
        <f t="shared" si="0"/>
        <v>1824.3895377603772</v>
      </c>
      <c r="C56" s="28">
        <f>C55*(1+'Rechnungen '!$B$41)</f>
        <v>904.47383811075815</v>
      </c>
      <c r="D56" s="26">
        <f t="shared" si="5"/>
        <v>678.84375</v>
      </c>
      <c r="E56" s="27">
        <f t="shared" si="1"/>
        <v>3407.7071258711353</v>
      </c>
      <c r="F56" s="26">
        <f t="shared" si="2"/>
        <v>2025.4978530608396</v>
      </c>
      <c r="G56" s="28">
        <f>G55*(1+'Rechnungen '!$B$41)</f>
        <v>126.67700813876162</v>
      </c>
      <c r="H56" s="26">
        <f t="shared" si="6"/>
        <v>1312.5</v>
      </c>
      <c r="I56" s="27">
        <f t="shared" si="3"/>
        <v>3464.6748611996013</v>
      </c>
      <c r="J56" s="26">
        <f t="shared" si="8"/>
        <v>3603.0392899542881</v>
      </c>
      <c r="K56" s="28">
        <f>K55*(1+'Rechnungen '!$B$41)</f>
        <v>253.35401627752324</v>
      </c>
      <c r="L56" s="29">
        <f t="shared" si="7"/>
        <v>500</v>
      </c>
      <c r="M56" s="27">
        <f t="shared" si="4"/>
        <v>4356.393306231811</v>
      </c>
      <c r="N56" s="2">
        <v>8</v>
      </c>
      <c r="O56" s="16" t="s">
        <v>111</v>
      </c>
    </row>
    <row r="57" spans="1:16">
      <c r="A57" s="14" t="s">
        <v>34</v>
      </c>
      <c r="B57" s="26">
        <f t="shared" si="0"/>
        <v>1864.4784966204616</v>
      </c>
      <c r="C57" s="28">
        <f>C56*(1+'Rechnungen '!$B$41)</f>
        <v>931.60805325408091</v>
      </c>
      <c r="D57" s="26">
        <f t="shared" si="5"/>
        <v>678.84375</v>
      </c>
      <c r="E57" s="27">
        <f t="shared" si="1"/>
        <v>3474.9302998745425</v>
      </c>
      <c r="F57" s="26">
        <f t="shared" si="2"/>
        <v>2070.0059465474019</v>
      </c>
      <c r="G57" s="28">
        <f>G56*(1+'Rechnungen '!$B$41)</f>
        <v>130.47731838292447</v>
      </c>
      <c r="H57" s="26">
        <f t="shared" si="6"/>
        <v>1312.5</v>
      </c>
      <c r="I57" s="27">
        <f t="shared" si="3"/>
        <v>3512.9832649303262</v>
      </c>
      <c r="J57" s="26">
        <f t="shared" si="8"/>
        <v>3707.2854128634426</v>
      </c>
      <c r="K57" s="28">
        <f>K56*(1+'Rechnungen '!$B$41)</f>
        <v>260.95463676584893</v>
      </c>
      <c r="L57" s="29">
        <f t="shared" si="7"/>
        <v>500</v>
      </c>
      <c r="M57" s="27">
        <f t="shared" si="4"/>
        <v>4468.2400496292912</v>
      </c>
      <c r="N57" s="2">
        <v>9</v>
      </c>
      <c r="O57" s="16" t="s">
        <v>112</v>
      </c>
    </row>
    <row r="58" spans="1:16">
      <c r="A58" s="14" t="s">
        <v>35</v>
      </c>
      <c r="B58" s="26">
        <f t="shared" si="0"/>
        <v>1905.7701242463479</v>
      </c>
      <c r="C58" s="28">
        <f>C57*(1+'Rechnungen '!$B$41)</f>
        <v>959.55629485170334</v>
      </c>
      <c r="D58" s="26">
        <f t="shared" si="5"/>
        <v>678.84375</v>
      </c>
      <c r="E58" s="27">
        <f t="shared" si="1"/>
        <v>3544.1701690980512</v>
      </c>
      <c r="F58" s="26">
        <f t="shared" si="2"/>
        <v>2115.8492828385606</v>
      </c>
      <c r="G58" s="28">
        <f>G57*(1+'Rechnungen '!$B$41)</f>
        <v>134.39163793441222</v>
      </c>
      <c r="H58" s="26">
        <f t="shared" si="6"/>
        <v>1312.5</v>
      </c>
      <c r="I58" s="27">
        <f t="shared" si="3"/>
        <v>3562.7409207729729</v>
      </c>
      <c r="J58" s="26">
        <f t="shared" si="8"/>
        <v>3814.6589194598728</v>
      </c>
      <c r="K58" s="28">
        <f>K57*(1+'Rechnungen '!$B$41)</f>
        <v>268.78327586882443</v>
      </c>
      <c r="L58" s="29">
        <f t="shared" si="7"/>
        <v>500</v>
      </c>
      <c r="M58" s="27">
        <f t="shared" si="4"/>
        <v>4583.4421953286974</v>
      </c>
      <c r="N58" s="2">
        <v>10</v>
      </c>
      <c r="O58" s="16" t="s">
        <v>113</v>
      </c>
    </row>
    <row r="59" spans="1:16">
      <c r="A59" s="14" t="s">
        <v>36</v>
      </c>
      <c r="B59" s="26">
        <f t="shared" si="0"/>
        <v>1948.3005007010111</v>
      </c>
      <c r="C59" s="28">
        <f>C58*(1+'Rechnungen '!$B$41)</f>
        <v>988.34298369725445</v>
      </c>
      <c r="D59" s="26">
        <f t="shared" si="5"/>
        <v>678.84375</v>
      </c>
      <c r="E59" s="27">
        <f t="shared" si="1"/>
        <v>3615.4872343982656</v>
      </c>
      <c r="F59" s="26">
        <f t="shared" si="2"/>
        <v>2163.0679192184543</v>
      </c>
      <c r="G59" s="28">
        <f>G58*(1+'Rechnungen '!$B$41)</f>
        <v>138.4233870724446</v>
      </c>
      <c r="H59" s="26">
        <f t="shared" si="6"/>
        <v>1312.5</v>
      </c>
      <c r="I59" s="27">
        <f t="shared" si="3"/>
        <v>3613.991306290899</v>
      </c>
      <c r="J59" s="26">
        <f t="shared" si="8"/>
        <v>3925.2536312541956</v>
      </c>
      <c r="K59" s="28">
        <f>K58*(1+'Rechnungen '!$B$41)</f>
        <v>276.8467741448892</v>
      </c>
      <c r="L59" s="29">
        <f t="shared" si="7"/>
        <v>500</v>
      </c>
      <c r="M59" s="27">
        <f t="shared" si="4"/>
        <v>4702.1004053990846</v>
      </c>
      <c r="N59" s="2">
        <v>11</v>
      </c>
      <c r="O59" s="16" t="s">
        <v>114</v>
      </c>
    </row>
    <row r="60" spans="1:16">
      <c r="A60" s="14" t="s">
        <v>37</v>
      </c>
      <c r="B60" s="26">
        <f t="shared" si="0"/>
        <v>1992.1067884493139</v>
      </c>
      <c r="C60" s="28">
        <f>C59*(1+'Rechnungen '!$B$41)</f>
        <v>1017.9932732081721</v>
      </c>
      <c r="D60" s="26">
        <f t="shared" si="5"/>
        <v>678.84375</v>
      </c>
      <c r="E60" s="27">
        <f t="shared" si="1"/>
        <v>3688.9438116574856</v>
      </c>
      <c r="F60" s="26">
        <f t="shared" si="2"/>
        <v>2211.7031146897443</v>
      </c>
      <c r="G60" s="28">
        <f>G59*(1+'Rechnungen '!$B$41)</f>
        <v>142.57608868461793</v>
      </c>
      <c r="H60" s="26">
        <f t="shared" si="6"/>
        <v>1312.5</v>
      </c>
      <c r="I60" s="27">
        <f t="shared" si="3"/>
        <v>3666.7792033743622</v>
      </c>
      <c r="J60" s="26">
        <f t="shared" si="8"/>
        <v>4039.1661844023465</v>
      </c>
      <c r="K60" s="28">
        <f>K59*(1+'Rechnungen '!$B$41)</f>
        <v>285.15217736923586</v>
      </c>
      <c r="L60" s="29">
        <f t="shared" si="7"/>
        <v>500</v>
      </c>
      <c r="M60" s="27">
        <f t="shared" si="4"/>
        <v>4824.3183617715822</v>
      </c>
      <c r="N60" s="2">
        <v>12</v>
      </c>
      <c r="O60" s="16" t="s">
        <v>115</v>
      </c>
    </row>
    <row r="61" spans="1:16">
      <c r="A61" s="14" t="s">
        <v>38</v>
      </c>
      <c r="B61" s="26">
        <f t="shared" si="0"/>
        <v>2037.2272648300661</v>
      </c>
      <c r="C61" s="28">
        <f>C60*(1+'Rechnungen '!$B$41)</f>
        <v>1048.5330714044173</v>
      </c>
      <c r="D61" s="26">
        <f t="shared" si="5"/>
        <v>678.84375</v>
      </c>
      <c r="E61" s="27">
        <f t="shared" si="1"/>
        <v>3764.6040862344835</v>
      </c>
      <c r="F61" s="26">
        <f t="shared" si="2"/>
        <v>2261.7973660251737</v>
      </c>
      <c r="G61" s="28">
        <f>G60*(1+'Rechnungen '!$B$41)</f>
        <v>146.85337134515646</v>
      </c>
      <c r="H61" s="26">
        <f t="shared" si="6"/>
        <v>1312.5</v>
      </c>
      <c r="I61" s="27">
        <f t="shared" si="3"/>
        <v>3721.1507373703303</v>
      </c>
      <c r="J61" s="26">
        <f t="shared" si="8"/>
        <v>4156.496114144943</v>
      </c>
      <c r="K61" s="28">
        <f>K60*(1+'Rechnungen '!$B$41)</f>
        <v>293.70674269031292</v>
      </c>
      <c r="L61" s="29">
        <f t="shared" si="7"/>
        <v>500</v>
      </c>
      <c r="M61" s="27">
        <f t="shared" si="4"/>
        <v>4950.2028568352562</v>
      </c>
      <c r="N61" s="2">
        <v>13</v>
      </c>
      <c r="O61" s="16" t="s">
        <v>116</v>
      </c>
    </row>
    <row r="62" spans="1:16">
      <c r="A62" s="14" t="s">
        <v>39</v>
      </c>
      <c r="B62" s="26">
        <f t="shared" si="0"/>
        <v>2083.7013555022409</v>
      </c>
      <c r="C62" s="28">
        <f>C61*(1+'Rechnungen '!$B$41)</f>
        <v>1079.9890635465499</v>
      </c>
      <c r="D62" s="26">
        <f t="shared" si="5"/>
        <v>678.84375</v>
      </c>
      <c r="E62" s="27">
        <f t="shared" si="1"/>
        <v>3842.5341690487908</v>
      </c>
      <c r="F62" s="26">
        <f t="shared" si="2"/>
        <v>2313.3944449006658</v>
      </c>
      <c r="G62" s="28">
        <f>G61*(1+'Rechnungen '!$B$41)</f>
        <v>151.25897248551115</v>
      </c>
      <c r="H62" s="26">
        <f t="shared" si="6"/>
        <v>1312.5</v>
      </c>
      <c r="I62" s="27">
        <f t="shared" si="3"/>
        <v>3777.1534173861769</v>
      </c>
      <c r="J62" s="26">
        <f t="shared" si="8"/>
        <v>4277.3459417798176</v>
      </c>
      <c r="K62" s="28">
        <f>K61*(1+'Rechnungen '!$B$41)</f>
        <v>302.5179449710223</v>
      </c>
      <c r="L62" s="29">
        <f t="shared" si="7"/>
        <v>500</v>
      </c>
      <c r="M62" s="27">
        <f t="shared" si="4"/>
        <v>5079.8638867508398</v>
      </c>
      <c r="N62" s="2">
        <v>14</v>
      </c>
      <c r="O62" s="16" t="s">
        <v>117</v>
      </c>
    </row>
    <row r="63" spans="1:16">
      <c r="A63" s="14" t="s">
        <v>40</v>
      </c>
      <c r="B63" s="26">
        <f t="shared" si="0"/>
        <v>2131.5696688945809</v>
      </c>
      <c r="C63" s="28">
        <f>C62*(1+'Rechnungen '!$B$41)</f>
        <v>1112.3887354529465</v>
      </c>
      <c r="D63" s="26">
        <f t="shared" si="5"/>
        <v>678.84375</v>
      </c>
      <c r="E63" s="27">
        <f t="shared" si="1"/>
        <v>3922.8021543475274</v>
      </c>
      <c r="F63" s="26">
        <f t="shared" si="2"/>
        <v>2366.5394361424223</v>
      </c>
      <c r="G63" s="28">
        <f>G62*(1+'Rechnungen '!$B$41)</f>
        <v>155.79674166007649</v>
      </c>
      <c r="H63" s="26">
        <f t="shared" si="6"/>
        <v>1312.5</v>
      </c>
      <c r="I63" s="27">
        <f t="shared" si="3"/>
        <v>3834.8361778024992</v>
      </c>
      <c r="J63" s="26">
        <f t="shared" si="8"/>
        <v>4401.8212642437393</v>
      </c>
      <c r="K63" s="28">
        <f>K62*(1+'Rechnungen '!$B$41)</f>
        <v>311.59348332015298</v>
      </c>
      <c r="L63" s="29">
        <f t="shared" si="7"/>
        <v>500</v>
      </c>
      <c r="M63" s="27">
        <f t="shared" si="4"/>
        <v>5213.414747563892</v>
      </c>
      <c r="N63" s="2">
        <v>15</v>
      </c>
      <c r="O63" s="16" t="s">
        <v>118</v>
      </c>
    </row>
    <row r="64" spans="1:16">
      <c r="A64" s="14" t="s">
        <v>41</v>
      </c>
      <c r="B64" s="26">
        <f t="shared" si="0"/>
        <v>2180.8740316886906</v>
      </c>
      <c r="C64" s="28">
        <f>C63*(1+'Rechnungen '!$B$41)</f>
        <v>1145.760397516535</v>
      </c>
      <c r="D64" s="26">
        <f t="shared" si="5"/>
        <v>678.84375</v>
      </c>
      <c r="E64" s="27">
        <f t="shared" si="1"/>
        <v>4005.4781792052254</v>
      </c>
      <c r="F64" s="26">
        <f t="shared" si="2"/>
        <v>2421.2787771214321</v>
      </c>
      <c r="G64" s="28">
        <f>G63*(1+'Rechnungen '!$B$41)</f>
        <v>160.47064390987879</v>
      </c>
      <c r="H64" s="26">
        <f t="shared" si="6"/>
        <v>1312.5</v>
      </c>
      <c r="I64" s="27">
        <f t="shared" si="3"/>
        <v>3894.2494210313107</v>
      </c>
      <c r="J64" s="26">
        <f t="shared" si="8"/>
        <v>4530.0308463815772</v>
      </c>
      <c r="K64" s="28">
        <f>K63*(1+'Rechnungen '!$B$41)</f>
        <v>320.94128781975758</v>
      </c>
      <c r="L64" s="29">
        <f t="shared" si="7"/>
        <v>500</v>
      </c>
      <c r="M64" s="27">
        <f t="shared" si="4"/>
        <v>5350.9721342013345</v>
      </c>
      <c r="N64" s="2">
        <v>16</v>
      </c>
      <c r="O64" s="16" t="s">
        <v>119</v>
      </c>
    </row>
    <row r="65" spans="1:15">
      <c r="A65" s="14" t="s">
        <v>42</v>
      </c>
      <c r="B65" s="26">
        <f t="shared" si="0"/>
        <v>2231.6575253666242</v>
      </c>
      <c r="C65" s="28">
        <f>C64*(1+'Rechnungen '!$B$41)</f>
        <v>1180.1332094420311</v>
      </c>
      <c r="D65" s="26">
        <f t="shared" si="5"/>
        <v>678.84375</v>
      </c>
      <c r="E65" s="27">
        <f t="shared" si="1"/>
        <v>4090.6344848086555</v>
      </c>
      <c r="F65" s="26">
        <f t="shared" si="2"/>
        <v>2477.6602983298117</v>
      </c>
      <c r="G65" s="28">
        <f>G64*(1+'Rechnungen '!$B$41)</f>
        <v>165.28476322717515</v>
      </c>
      <c r="H65" s="26">
        <f t="shared" si="6"/>
        <v>1312.5</v>
      </c>
      <c r="I65" s="27">
        <f t="shared" si="3"/>
        <v>3955.4450615569867</v>
      </c>
      <c r="J65" s="26">
        <f t="shared" si="8"/>
        <v>4662.0867159835507</v>
      </c>
      <c r="K65" s="28">
        <f>K64*(1+'Rechnungen '!$B$41)</f>
        <v>330.5695264543503</v>
      </c>
      <c r="L65" s="29">
        <f t="shared" si="7"/>
        <v>500</v>
      </c>
      <c r="M65" s="27">
        <f t="shared" si="4"/>
        <v>5492.6562424379008</v>
      </c>
      <c r="N65" s="2">
        <v>17</v>
      </c>
      <c r="O65" s="16" t="s">
        <v>120</v>
      </c>
    </row>
    <row r="66" spans="1:15">
      <c r="A66" s="14" t="s">
        <v>43</v>
      </c>
      <c r="B66" s="26">
        <f t="shared" si="0"/>
        <v>2283.9645238548956</v>
      </c>
      <c r="C66" s="28">
        <f>C65*(1+'Rechnungen '!$B$41)</f>
        <v>1215.5372057252921</v>
      </c>
      <c r="D66" s="26">
        <f t="shared" si="5"/>
        <v>678.84375</v>
      </c>
      <c r="E66" s="27">
        <f t="shared" si="1"/>
        <v>4178.3454795801881</v>
      </c>
      <c r="F66" s="26">
        <f t="shared" si="2"/>
        <v>2535.7332651744427</v>
      </c>
      <c r="G66" s="28">
        <f>G65*(1+'Rechnungen '!$B$41)</f>
        <v>170.24330612399041</v>
      </c>
      <c r="H66" s="26">
        <f t="shared" si="6"/>
        <v>1312.5</v>
      </c>
      <c r="I66" s="27">
        <f t="shared" si="3"/>
        <v>4018.4765712984331</v>
      </c>
      <c r="J66" s="26">
        <f t="shared" si="8"/>
        <v>4798.1042616735831</v>
      </c>
      <c r="K66" s="28">
        <f>K65*(1+'Rechnungen '!$B$41)</f>
        <v>340.48661224798082</v>
      </c>
      <c r="L66" s="29">
        <f t="shared" si="7"/>
        <v>500</v>
      </c>
      <c r="M66" s="27">
        <f t="shared" si="4"/>
        <v>5638.5908739215638</v>
      </c>
      <c r="N66" s="2">
        <v>18</v>
      </c>
      <c r="O66" s="16" t="s">
        <v>121</v>
      </c>
    </row>
    <row r="67" spans="1:15">
      <c r="A67" s="14" t="s">
        <v>44</v>
      </c>
      <c r="B67" s="26">
        <f t="shared" si="0"/>
        <v>2337.8407322978151</v>
      </c>
      <c r="C67" s="28">
        <f>C66*(1+'Rechnungen '!$B$41)</f>
        <v>1252.0033218970509</v>
      </c>
      <c r="D67" s="26">
        <f t="shared" si="5"/>
        <v>678.84375</v>
      </c>
      <c r="E67" s="27">
        <f t="shared" si="1"/>
        <v>4268.6878041948657</v>
      </c>
      <c r="F67" s="26">
        <f t="shared" si="2"/>
        <v>2595.5484210244126</v>
      </c>
      <c r="G67" s="28">
        <f>G66*(1+'Rechnungen '!$B$41)</f>
        <v>175.35060530771011</v>
      </c>
      <c r="H67" s="26">
        <f t="shared" si="6"/>
        <v>1312.5</v>
      </c>
      <c r="I67" s="27">
        <f t="shared" si="3"/>
        <v>4083.399026332123</v>
      </c>
      <c r="J67" s="26">
        <f t="shared" si="8"/>
        <v>4938.2023337343171</v>
      </c>
      <c r="K67" s="28">
        <f>K66*(1+'Rechnungen '!$B$41)</f>
        <v>350.70121061542022</v>
      </c>
      <c r="L67" s="29">
        <f t="shared" si="7"/>
        <v>500</v>
      </c>
      <c r="M67" s="27">
        <f t="shared" si="4"/>
        <v>5788.9035443497378</v>
      </c>
      <c r="N67" s="2">
        <v>19</v>
      </c>
      <c r="O67" s="16" t="s">
        <v>122</v>
      </c>
    </row>
    <row r="68" spans="1:15">
      <c r="A68" s="15" t="s">
        <v>99</v>
      </c>
      <c r="B68" s="30">
        <f>SUM(B48:B67)</f>
        <v>38107.012869497739</v>
      </c>
      <c r="C68" s="30">
        <f>SUM(C48:C67)</f>
        <v>19185.447385132054</v>
      </c>
      <c r="D68" s="30">
        <f>SUM(D48:D67)</f>
        <v>13576.875</v>
      </c>
      <c r="E68" s="27">
        <f>D68+C68+B68</f>
        <v>70869.335254629797</v>
      </c>
      <c r="F68" s="30">
        <f>SUM(F48:F67)</f>
        <v>42307.671227101353</v>
      </c>
      <c r="G68" s="30">
        <f>SUM(G48:G67)</f>
        <v>2687.037448898046</v>
      </c>
      <c r="H68" s="30">
        <f>SUM(H48:H67)</f>
        <v>26250</v>
      </c>
      <c r="I68" s="27">
        <f>H68+G68+F68</f>
        <v>71244.708675999398</v>
      </c>
      <c r="J68" s="30">
        <f>SUM(J48:J67)</f>
        <v>75705.771795643945</v>
      </c>
      <c r="K68" s="30">
        <f>SUM(K48:K67)</f>
        <v>5374.074897796092</v>
      </c>
      <c r="L68" s="30">
        <f>SUM(L48:L67)</f>
        <v>10000</v>
      </c>
      <c r="M68" s="27">
        <f>L68+K68+J68</f>
        <v>91079.846693440035</v>
      </c>
    </row>
    <row r="69" spans="1:15">
      <c r="A69" s="15"/>
      <c r="B69" s="90"/>
      <c r="C69" s="91"/>
      <c r="D69" s="91"/>
      <c r="E69" s="31"/>
      <c r="F69" s="90"/>
      <c r="G69" s="91"/>
      <c r="H69" s="91"/>
      <c r="I69" s="31"/>
      <c r="J69" s="90"/>
      <c r="K69" s="91"/>
      <c r="L69" s="91"/>
      <c r="M69" s="33"/>
    </row>
    <row r="70" spans="1:15">
      <c r="A70" s="23"/>
      <c r="C70" s="24"/>
      <c r="D70" s="24"/>
      <c r="E70" s="32"/>
      <c r="G70" s="24"/>
      <c r="H70" s="24"/>
      <c r="I70" s="32"/>
      <c r="N70" s="2" t="s">
        <v>45</v>
      </c>
    </row>
    <row r="71" spans="1:15">
      <c r="A71" s="1"/>
      <c r="B71" s="1"/>
      <c r="C71" s="1"/>
      <c r="D71" s="1"/>
      <c r="E71" s="1"/>
      <c r="F71" s="1"/>
      <c r="G71" s="1"/>
      <c r="H71" s="1"/>
      <c r="I71" s="1"/>
      <c r="J71" s="1"/>
      <c r="N71" s="2" t="s">
        <v>46</v>
      </c>
    </row>
    <row r="72" spans="1:15">
      <c r="A72" s="1"/>
      <c r="B72" s="3"/>
      <c r="C72" s="3"/>
      <c r="D72" s="3"/>
      <c r="E72" s="3"/>
      <c r="F72" s="3"/>
      <c r="G72" s="3"/>
      <c r="H72" s="3"/>
      <c r="I72" s="3"/>
      <c r="J72" s="3"/>
    </row>
    <row r="73" spans="1:15" ht="23.4">
      <c r="A73" s="8"/>
      <c r="B73" s="9"/>
      <c r="C73" s="9"/>
      <c r="D73" s="9"/>
      <c r="E73" s="9"/>
      <c r="F73" s="9"/>
      <c r="G73" s="9"/>
      <c r="H73" s="9"/>
      <c r="I73" s="9"/>
      <c r="J73" s="9"/>
    </row>
  </sheetData>
  <mergeCells count="3">
    <mergeCell ref="B69:D69"/>
    <mergeCell ref="F69:H69"/>
    <mergeCell ref="J69:L69"/>
  </mergeCells>
  <phoneticPr fontId="17" type="noConversion"/>
  <pageMargins left="0.7" right="0.7" top="0.78740157499999996" bottom="0.78740157499999996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Kalkulator</vt:lpstr>
      <vt:lpstr>Rechnungen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gwieh</dc:creator>
  <cp:lastModifiedBy>Holger Marquardt</cp:lastModifiedBy>
  <dcterms:created xsi:type="dcterms:W3CDTF">2022-12-11T17:15:24Z</dcterms:created>
  <dcterms:modified xsi:type="dcterms:W3CDTF">2023-02-06T10:45:11Z</dcterms:modified>
</cp:coreProperties>
</file>